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045" yWindow="570" windowWidth="12075" windowHeight="6975" tabRatio="708"/>
  </bookViews>
  <sheets>
    <sheet name="Public Metrics" sheetId="1" r:id="rId1"/>
    <sheet name="Public Metrics (old)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41450.705474537</definedName>
    <definedName name="IQ_NTM" hidden="1">6000</definedName>
    <definedName name="IQ_QTD" hidden="1">750000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Metrics'!$A$1:$P$18</definedName>
    <definedName name="_xlnm.Print_Area" localSheetId="1">'Public Metrics (old)'!$A$1:$AV$77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34E70CD2_0BD1_4D7B_8D7E_D37453914C37_.wvu.Cols" localSheetId="0" hidden="1">'Public Metrics'!#REF!</definedName>
    <definedName name="Z_34E70CD2_0BD1_4D7B_8D7E_D37453914C37_.wvu.Cols" localSheetId="1" hidden="1">'Public Metrics (old)'!$C:$S,'Public Metrics (old)'!$AL:$AR</definedName>
    <definedName name="Z_34E70CD2_0BD1_4D7B_8D7E_D37453914C37_.wvu.PrintArea" localSheetId="0" hidden="1">'Public Metrics'!$A$1:$M$18</definedName>
    <definedName name="Z_34E70CD2_0BD1_4D7B_8D7E_D37453914C37_.wvu.PrintArea" localSheetId="1" hidden="1">'Public Metrics (old)'!$A$1:$AV$77</definedName>
    <definedName name="Z_870DA93B_C7EC_11D1_935A_00A0C95F1362_.wvu.PrintArea" localSheetId="0" hidden="1">#REF!</definedName>
    <definedName name="Z_870DA93B_C7EC_11D1_935A_00A0C95F1362_.wvu.PrintArea" hidden="1">#REF!</definedName>
    <definedName name="Z_AED9D8D2_9EC8_44D4_BB97_5CCE0677B94B_.wvu.Cols" localSheetId="0" hidden="1">'Public Metrics'!#REF!</definedName>
    <definedName name="Z_AED9D8D2_9EC8_44D4_BB97_5CCE0677B94B_.wvu.Cols" localSheetId="1" hidden="1">'Public Metrics (old)'!$C:$S,'Public Metrics (old)'!$AL:$AR</definedName>
    <definedName name="Z_AED9D8D2_9EC8_44D4_BB97_5CCE0677B94B_.wvu.PrintArea" localSheetId="0" hidden="1">'Public Metrics'!$A$1:$M$19</definedName>
    <definedName name="Z_AED9D8D2_9EC8_44D4_BB97_5CCE0677B94B_.wvu.PrintArea" localSheetId="1" hidden="1">'Public Metrics (old)'!$A$1:$AV$77</definedName>
    <definedName name="Z_EEE1B813_1284_496C_9108_7B6EBF1B66DA_.wvu.Cols" localSheetId="0" hidden="1">'Public Metrics'!#REF!</definedName>
    <definedName name="Z_EEE1B813_1284_496C_9108_7B6EBF1B66DA_.wvu.Cols" localSheetId="1" hidden="1">'Public Metrics (old)'!$C:$S,'Public Metrics (old)'!$AL:$AR</definedName>
    <definedName name="Z_EEE1B813_1284_496C_9108_7B6EBF1B66DA_.wvu.PrintArea" localSheetId="0" hidden="1">'Public Metrics'!$A$1:$M$18</definedName>
    <definedName name="Z_EEE1B813_1284_496C_9108_7B6EBF1B66DA_.wvu.PrintArea" localSheetId="1" hidden="1">'Public Metrics (old)'!$A$1:$AV$77</definedName>
  </definedNames>
  <calcPr calcId="145621"/>
  <customWorkbookViews>
    <customWorkbookView name="Temple, Natalie - Personal View" guid="{EEE1B813-1284-496C-9108-7B6EBF1B66DA}" mergeInterval="0" personalView="1" maximized="1" windowWidth="1362" windowHeight="489" tabRatio="708" activeSheetId="1"/>
    <customWorkbookView name="Faris, Noelle - Personal View" guid="{34E70CD2-0BD1-4D7B-8D7E-D37453914C37}" mergeInterval="0" personalView="1" maximized="1" windowWidth="1276" windowHeight="551" tabRatio="708" activeSheetId="1"/>
    <customWorkbookView name="Leiberman, Kerry - Personal View" guid="{AED9D8D2-9EC8-44D4-BB97-5CCE0677B94B}" mergeInterval="0" personalView="1" maximized="1" windowWidth="1436" windowHeight="561" tabRatio="708" activeSheetId="1"/>
  </customWorkbookViews>
</workbook>
</file>

<file path=xl/calcChain.xml><?xml version="1.0" encoding="utf-8"?>
<calcChain xmlns="http://schemas.openxmlformats.org/spreadsheetml/2006/main">
  <c r="AV14" i="2" l="1"/>
  <c r="AV15" i="2"/>
  <c r="AV64" i="2"/>
  <c r="AU91" i="2"/>
  <c r="AU87" i="2"/>
  <c r="AU83" i="2"/>
  <c r="AU84" i="2"/>
  <c r="AU85" i="2"/>
  <c r="AU77" i="2"/>
  <c r="AU95" i="2"/>
  <c r="AU70" i="2"/>
  <c r="AU88" i="2"/>
  <c r="AU64" i="2"/>
  <c r="AU82" i="2"/>
  <c r="AU63" i="2"/>
  <c r="AU81" i="2"/>
  <c r="AU32" i="2"/>
  <c r="AU28" i="2"/>
  <c r="AU25" i="2"/>
  <c r="AU39" i="2"/>
  <c r="AU17" i="2"/>
  <c r="AU13" i="2"/>
  <c r="U91" i="2"/>
  <c r="V91" i="2"/>
  <c r="W91" i="2"/>
  <c r="X91" i="2"/>
  <c r="Y91" i="2"/>
  <c r="AA91" i="2"/>
  <c r="AB91" i="2"/>
  <c r="AC91" i="2"/>
  <c r="AD91" i="2"/>
  <c r="AE91" i="2"/>
  <c r="AB13" i="2"/>
  <c r="AB18" i="2"/>
  <c r="AB19" i="2"/>
  <c r="AJ91" i="2"/>
  <c r="AI91" i="2"/>
  <c r="AH91" i="2"/>
  <c r="AG91" i="2"/>
  <c r="AE47" i="2"/>
  <c r="AV23" i="2"/>
  <c r="AV26" i="2"/>
  <c r="AV29" i="2"/>
  <c r="AV31" i="2"/>
  <c r="AV34" i="2"/>
  <c r="AV63" i="2"/>
  <c r="AV81" i="2"/>
  <c r="AV42" i="2"/>
  <c r="AV91" i="2"/>
  <c r="AV87" i="2"/>
  <c r="AV85" i="2"/>
  <c r="AV84" i="2"/>
  <c r="AV83" i="2"/>
  <c r="AV50" i="2"/>
  <c r="AV47" i="2"/>
  <c r="AV77" i="2"/>
  <c r="AV95" i="2"/>
  <c r="AV70" i="2"/>
  <c r="AV88" i="2"/>
  <c r="AV13" i="2"/>
  <c r="AI103" i="2"/>
  <c r="AT91" i="2"/>
  <c r="AT83" i="2"/>
  <c r="AT84" i="2"/>
  <c r="AT85" i="2"/>
  <c r="AT87" i="2"/>
  <c r="AT77" i="2"/>
  <c r="AT95" i="2"/>
  <c r="AT17" i="2"/>
  <c r="AT20" i="2"/>
  <c r="AT21" i="2"/>
  <c r="AT28" i="2"/>
  <c r="AT63" i="2"/>
  <c r="AT81" i="2"/>
  <c r="AT64" i="2"/>
  <c r="AV16" i="2"/>
  <c r="AT70" i="2"/>
  <c r="AT88" i="2"/>
  <c r="AT25" i="2"/>
  <c r="AT32" i="2"/>
  <c r="AT36" i="2"/>
  <c r="AT37" i="2"/>
  <c r="AT18" i="2"/>
  <c r="AT19" i="2"/>
  <c r="AF88" i="2"/>
  <c r="AJ87" i="2"/>
  <c r="AF87" i="2"/>
  <c r="AC87" i="2"/>
  <c r="AB87" i="2"/>
  <c r="AA87" i="2"/>
  <c r="AF86" i="2"/>
  <c r="AA83" i="2"/>
  <c r="AJ85" i="2"/>
  <c r="AI85" i="2"/>
  <c r="AH85" i="2"/>
  <c r="AG85" i="2"/>
  <c r="AF85" i="2"/>
  <c r="AD85" i="2"/>
  <c r="AC85" i="2"/>
  <c r="AB85" i="2"/>
  <c r="AA85" i="2"/>
  <c r="AJ84" i="2"/>
  <c r="AI84" i="2"/>
  <c r="AH84" i="2"/>
  <c r="AG84" i="2"/>
  <c r="AF84" i="2"/>
  <c r="AD84" i="2"/>
  <c r="AC84" i="2"/>
  <c r="AB84" i="2"/>
  <c r="AA84" i="2"/>
  <c r="AJ83" i="2"/>
  <c r="AI83" i="2"/>
  <c r="AH83" i="2"/>
  <c r="AG83" i="2"/>
  <c r="AF83" i="2"/>
  <c r="AD83" i="2"/>
  <c r="AC83" i="2"/>
  <c r="AB83" i="2"/>
  <c r="AF82" i="2"/>
  <c r="AF81" i="2"/>
  <c r="AF80" i="2"/>
  <c r="U81" i="2"/>
  <c r="U84" i="2"/>
  <c r="Y84" i="2"/>
  <c r="V80" i="2"/>
  <c r="V81" i="2"/>
  <c r="W80" i="2"/>
  <c r="W81" i="2"/>
  <c r="X80" i="2"/>
  <c r="X81" i="2"/>
  <c r="O81" i="2"/>
  <c r="O84" i="2"/>
  <c r="S84" i="2"/>
  <c r="P80" i="2"/>
  <c r="P81" i="2"/>
  <c r="Q80" i="2"/>
  <c r="Q89" i="2"/>
  <c r="Q92" i="2"/>
  <c r="Q94" i="2"/>
  <c r="R80" i="2"/>
  <c r="R89" i="2"/>
  <c r="R92" i="2"/>
  <c r="R94" i="2"/>
  <c r="M81" i="2"/>
  <c r="M84" i="2"/>
  <c r="M85" i="2"/>
  <c r="L81" i="2"/>
  <c r="L84" i="2"/>
  <c r="K81" i="2"/>
  <c r="K84" i="2"/>
  <c r="J81" i="2"/>
  <c r="J84" i="2"/>
  <c r="I81" i="2"/>
  <c r="I84" i="2"/>
  <c r="G81" i="2"/>
  <c r="G84" i="2"/>
  <c r="G85" i="2"/>
  <c r="F81" i="2"/>
  <c r="F84" i="2"/>
  <c r="E84" i="2"/>
  <c r="D81" i="2"/>
  <c r="D84" i="2"/>
  <c r="C81" i="2"/>
  <c r="C84" i="2"/>
  <c r="Y87" i="2"/>
  <c r="S86" i="2"/>
  <c r="G86" i="2"/>
  <c r="Y85" i="2"/>
  <c r="S85" i="2"/>
  <c r="Y83" i="2"/>
  <c r="S83" i="2"/>
  <c r="AJ32" i="2"/>
  <c r="AI63" i="2"/>
  <c r="AI81" i="2"/>
  <c r="AJ28" i="2"/>
  <c r="AJ64" i="2"/>
  <c r="AJ82" i="2"/>
  <c r="AI77" i="2"/>
  <c r="AI95" i="2"/>
  <c r="AI70" i="2"/>
  <c r="AI88" i="2"/>
  <c r="AI69" i="2"/>
  <c r="AI87" i="2"/>
  <c r="AI64" i="2"/>
  <c r="AI82" i="2"/>
  <c r="AI17" i="2"/>
  <c r="AI20" i="2"/>
  <c r="AI25" i="2"/>
  <c r="AI28" i="2"/>
  <c r="AI32" i="2"/>
  <c r="AI39" i="2"/>
  <c r="AE24" i="2"/>
  <c r="AE23" i="2"/>
  <c r="AE27" i="2"/>
  <c r="AE26" i="2"/>
  <c r="AE28" i="2"/>
  <c r="AE29" i="2"/>
  <c r="AE30" i="2"/>
  <c r="AE31" i="2"/>
  <c r="AE15" i="2"/>
  <c r="AE34" i="2"/>
  <c r="AE33" i="2"/>
  <c r="AE13" i="2"/>
  <c r="AE14" i="2"/>
  <c r="AE17" i="2"/>
  <c r="AE16" i="2"/>
  <c r="AE42" i="2"/>
  <c r="AE43" i="2"/>
  <c r="AE44" i="2"/>
  <c r="AE45" i="2"/>
  <c r="AD69" i="2"/>
  <c r="AD87" i="2"/>
  <c r="AA17" i="2"/>
  <c r="AA20" i="2"/>
  <c r="AA21" i="2"/>
  <c r="AA25" i="2"/>
  <c r="AA28" i="2"/>
  <c r="AA32" i="2"/>
  <c r="AN26" i="2"/>
  <c r="AN27" i="2"/>
  <c r="AB17" i="2"/>
  <c r="AB20" i="2"/>
  <c r="AB25" i="2"/>
  <c r="AB28" i="2"/>
  <c r="AB32" i="2"/>
  <c r="AB39" i="2"/>
  <c r="AC17" i="2"/>
  <c r="AC20" i="2"/>
  <c r="AC21" i="2"/>
  <c r="AC25" i="2"/>
  <c r="AC28" i="2"/>
  <c r="AC32" i="2"/>
  <c r="AP26" i="2"/>
  <c r="AP27" i="2"/>
  <c r="AD13" i="2"/>
  <c r="AD18" i="2"/>
  <c r="AD19" i="2"/>
  <c r="AD17" i="2"/>
  <c r="AD25" i="2"/>
  <c r="AD28" i="2"/>
  <c r="AD32" i="2"/>
  <c r="AA18" i="2"/>
  <c r="AA19" i="2"/>
  <c r="AO39" i="2"/>
  <c r="AO40" i="2"/>
  <c r="AK23" i="2"/>
  <c r="AN39" i="2"/>
  <c r="AN40" i="2"/>
  <c r="AG64" i="2"/>
  <c r="AG82" i="2"/>
  <c r="AH64" i="2"/>
  <c r="AH82" i="2"/>
  <c r="AK14" i="2"/>
  <c r="AK9" i="2"/>
  <c r="AK10" i="2"/>
  <c r="AK11" i="2"/>
  <c r="AK12" i="2"/>
  <c r="AK26" i="2"/>
  <c r="AH77" i="2"/>
  <c r="AH95" i="2"/>
  <c r="AH15" i="2"/>
  <c r="AH17" i="2"/>
  <c r="AH20" i="2"/>
  <c r="AH21" i="2"/>
  <c r="AH70" i="2"/>
  <c r="AH88" i="2"/>
  <c r="AH69" i="2"/>
  <c r="AH25" i="2"/>
  <c r="AH28" i="2"/>
  <c r="AH32" i="2"/>
  <c r="AO13" i="2"/>
  <c r="AP10" i="2"/>
  <c r="AP11" i="2"/>
  <c r="AP12" i="2"/>
  <c r="AP9" i="2"/>
  <c r="AO12" i="2"/>
  <c r="AO11" i="2"/>
  <c r="AO10" i="2"/>
  <c r="AO9" i="2"/>
  <c r="AG25" i="2"/>
  <c r="AG28" i="2"/>
  <c r="AK28" i="2"/>
  <c r="AG32" i="2"/>
  <c r="AK32" i="2"/>
  <c r="AG77" i="2"/>
  <c r="AG95" i="2"/>
  <c r="AG15" i="2"/>
  <c r="AG17" i="2"/>
  <c r="AG20" i="2"/>
  <c r="AG21" i="2"/>
  <c r="AG63" i="2"/>
  <c r="AG69" i="2"/>
  <c r="AG87" i="2"/>
  <c r="AG70" i="2"/>
  <c r="AA63" i="2"/>
  <c r="AA81" i="2"/>
  <c r="AA64" i="2"/>
  <c r="AA82" i="2"/>
  <c r="AA70" i="2"/>
  <c r="AA88" i="2"/>
  <c r="AD70" i="2"/>
  <c r="AB63" i="2"/>
  <c r="AB81" i="2"/>
  <c r="AC63" i="2"/>
  <c r="AC81" i="2"/>
  <c r="AD63" i="2"/>
  <c r="AD81" i="2"/>
  <c r="AE65" i="2"/>
  <c r="AE83" i="2"/>
  <c r="AE66" i="2"/>
  <c r="AE84" i="2"/>
  <c r="AE67" i="2"/>
  <c r="AE85" i="2"/>
  <c r="AB70" i="2"/>
  <c r="AB88" i="2"/>
  <c r="AC70" i="2"/>
  <c r="Y73" i="2"/>
  <c r="U15" i="2"/>
  <c r="U17" i="2"/>
  <c r="U20" i="2"/>
  <c r="U25" i="2"/>
  <c r="U28" i="2"/>
  <c r="U32" i="2"/>
  <c r="U63" i="2"/>
  <c r="U64" i="2"/>
  <c r="U66" i="2"/>
  <c r="U80" i="2"/>
  <c r="U70" i="2"/>
  <c r="V15" i="2"/>
  <c r="V17" i="2"/>
  <c r="V20" i="2"/>
  <c r="V21" i="2"/>
  <c r="V25" i="2"/>
  <c r="V28" i="2"/>
  <c r="V32" i="2"/>
  <c r="V63" i="2"/>
  <c r="V64" i="2"/>
  <c r="V70" i="2"/>
  <c r="W15" i="2"/>
  <c r="W17" i="2"/>
  <c r="W20" i="2"/>
  <c r="W21" i="2"/>
  <c r="W25" i="2"/>
  <c r="W28" i="2"/>
  <c r="W29" i="2"/>
  <c r="W63" i="2"/>
  <c r="W64" i="2"/>
  <c r="W70" i="2"/>
  <c r="X15" i="2"/>
  <c r="X25" i="2"/>
  <c r="X28" i="2"/>
  <c r="X32" i="2"/>
  <c r="X63" i="2"/>
  <c r="X64" i="2"/>
  <c r="X70" i="2"/>
  <c r="AD64" i="2"/>
  <c r="AD82" i="2"/>
  <c r="AH63" i="2"/>
  <c r="AH81" i="2"/>
  <c r="AJ63" i="2"/>
  <c r="AJ81" i="2"/>
  <c r="AJ70" i="2"/>
  <c r="AJ88" i="2"/>
  <c r="AK73" i="2"/>
  <c r="AK66" i="2"/>
  <c r="AK84" i="2"/>
  <c r="AK67" i="2"/>
  <c r="AK85" i="2"/>
  <c r="AK68" i="2"/>
  <c r="AK65" i="2"/>
  <c r="AK83" i="2"/>
  <c r="AK50" i="2"/>
  <c r="AK91" i="2"/>
  <c r="AK43" i="2"/>
  <c r="AK44" i="2"/>
  <c r="AK45" i="2"/>
  <c r="AK47" i="2"/>
  <c r="AK42" i="2"/>
  <c r="AK34" i="2"/>
  <c r="AK31" i="2"/>
  <c r="AJ36" i="2"/>
  <c r="AJ37" i="2"/>
  <c r="AH36" i="2"/>
  <c r="AH37" i="2"/>
  <c r="AK33" i="2"/>
  <c r="AJ18" i="2"/>
  <c r="AJ19" i="2"/>
  <c r="AH18" i="2"/>
  <c r="AH19" i="2"/>
  <c r="AG36" i="2"/>
  <c r="AG37" i="2"/>
  <c r="AG18" i="2"/>
  <c r="AG19" i="2"/>
  <c r="Y13" i="2"/>
  <c r="AC36" i="2"/>
  <c r="AC37" i="2"/>
  <c r="AC64" i="2"/>
  <c r="AC82" i="2"/>
  <c r="AB64" i="2"/>
  <c r="AB82" i="2"/>
  <c r="O15" i="2"/>
  <c r="P15" i="2"/>
  <c r="P17" i="2"/>
  <c r="P20" i="2"/>
  <c r="Q15" i="2"/>
  <c r="R15" i="2"/>
  <c r="O25" i="2"/>
  <c r="P25" i="2"/>
  <c r="Q25" i="2"/>
  <c r="R25" i="2"/>
  <c r="O28" i="2"/>
  <c r="P28" i="2"/>
  <c r="Q28" i="2"/>
  <c r="R28" i="2"/>
  <c r="O29" i="2"/>
  <c r="P29" i="2"/>
  <c r="P32" i="2"/>
  <c r="Q29" i="2"/>
  <c r="R29" i="2"/>
  <c r="O66" i="2"/>
  <c r="O80" i="2"/>
  <c r="O70" i="2"/>
  <c r="S70" i="2"/>
  <c r="G13" i="2"/>
  <c r="G18" i="2"/>
  <c r="G19" i="2"/>
  <c r="L13" i="2"/>
  <c r="L36" i="2"/>
  <c r="L37" i="2"/>
  <c r="C15" i="2"/>
  <c r="C31" i="2"/>
  <c r="C36" i="2"/>
  <c r="C37" i="2"/>
  <c r="D15" i="2"/>
  <c r="D31" i="2"/>
  <c r="D32" i="2"/>
  <c r="M15" i="2"/>
  <c r="M31" i="2"/>
  <c r="S13" i="2"/>
  <c r="S14" i="2"/>
  <c r="Y14" i="2"/>
  <c r="G16" i="2"/>
  <c r="M16" i="2"/>
  <c r="S16" i="2"/>
  <c r="Y16" i="2"/>
  <c r="AN16" i="2"/>
  <c r="AO16" i="2"/>
  <c r="AP16" i="2"/>
  <c r="AQ16" i="2"/>
  <c r="E17" i="2"/>
  <c r="E20" i="2"/>
  <c r="E21" i="2"/>
  <c r="F17" i="2"/>
  <c r="F20" i="2"/>
  <c r="F21" i="2"/>
  <c r="I17" i="2"/>
  <c r="I20" i="2"/>
  <c r="I21" i="2"/>
  <c r="J17" i="2"/>
  <c r="J20" i="2"/>
  <c r="K17" i="2"/>
  <c r="K20" i="2"/>
  <c r="L17" i="2"/>
  <c r="C18" i="2"/>
  <c r="C19" i="2"/>
  <c r="D18" i="2"/>
  <c r="D19" i="2"/>
  <c r="E18" i="2"/>
  <c r="E19" i="2"/>
  <c r="F18" i="2"/>
  <c r="F19" i="2"/>
  <c r="I18" i="2"/>
  <c r="I19" i="2"/>
  <c r="J18" i="2"/>
  <c r="J19" i="2"/>
  <c r="K18" i="2"/>
  <c r="K19" i="2"/>
  <c r="O18" i="2"/>
  <c r="O19" i="2"/>
  <c r="P18" i="2"/>
  <c r="P19" i="2"/>
  <c r="Q18" i="2"/>
  <c r="Q19" i="2"/>
  <c r="R18" i="2"/>
  <c r="R19" i="2"/>
  <c r="U18" i="2"/>
  <c r="U19" i="2"/>
  <c r="V18" i="2"/>
  <c r="V19" i="2"/>
  <c r="W18" i="2"/>
  <c r="W19" i="2"/>
  <c r="X18" i="2"/>
  <c r="X19" i="2"/>
  <c r="AC18" i="2"/>
  <c r="AC19" i="2"/>
  <c r="AN21" i="2"/>
  <c r="AO21" i="2"/>
  <c r="AO23" i="2"/>
  <c r="AP21" i="2"/>
  <c r="AP23" i="2"/>
  <c r="AQ21" i="2"/>
  <c r="AQ23" i="2"/>
  <c r="AR21" i="2"/>
  <c r="AR23" i="2"/>
  <c r="G23" i="2"/>
  <c r="M23" i="2"/>
  <c r="S23" i="2"/>
  <c r="Y23" i="2"/>
  <c r="G24" i="2"/>
  <c r="G25" i="2"/>
  <c r="M24" i="2"/>
  <c r="S24" i="2"/>
  <c r="S25" i="2"/>
  <c r="Y24" i="2"/>
  <c r="Y25" i="2"/>
  <c r="C25" i="2"/>
  <c r="D25" i="2"/>
  <c r="D28" i="2"/>
  <c r="E25" i="2"/>
  <c r="E28" i="2"/>
  <c r="E32" i="2"/>
  <c r="F25" i="2"/>
  <c r="G27" i="2"/>
  <c r="G26" i="2"/>
  <c r="G29" i="2"/>
  <c r="G30" i="2"/>
  <c r="G34" i="2"/>
  <c r="G63" i="2"/>
  <c r="I25" i="2"/>
  <c r="J25" i="2"/>
  <c r="J28" i="2"/>
  <c r="J32" i="2"/>
  <c r="K25" i="2"/>
  <c r="L25" i="2"/>
  <c r="L28" i="2"/>
  <c r="L32" i="2"/>
  <c r="S27" i="2"/>
  <c r="S26" i="2"/>
  <c r="S30" i="2"/>
  <c r="S31" i="2"/>
  <c r="S34" i="2"/>
  <c r="M26" i="2"/>
  <c r="M27" i="2"/>
  <c r="Y26" i="2"/>
  <c r="M29" i="2"/>
  <c r="I30" i="2"/>
  <c r="M34" i="2"/>
  <c r="M63" i="2"/>
  <c r="M42" i="2"/>
  <c r="M43" i="2"/>
  <c r="M66" i="2"/>
  <c r="M80" i="2"/>
  <c r="M44" i="2"/>
  <c r="M70" i="2"/>
  <c r="M45" i="2"/>
  <c r="M47" i="2"/>
  <c r="Y27" i="2"/>
  <c r="Y30" i="2"/>
  <c r="Y31" i="2"/>
  <c r="Y34" i="2"/>
  <c r="Y33" i="2"/>
  <c r="C28" i="2"/>
  <c r="F28" i="2"/>
  <c r="I28" i="2"/>
  <c r="K28" i="2"/>
  <c r="F32" i="2"/>
  <c r="K32" i="2"/>
  <c r="D36" i="2"/>
  <c r="D37" i="2"/>
  <c r="E36" i="2"/>
  <c r="E37" i="2"/>
  <c r="F36" i="2"/>
  <c r="F37" i="2"/>
  <c r="I36" i="2"/>
  <c r="I37" i="2"/>
  <c r="J36" i="2"/>
  <c r="J37" i="2"/>
  <c r="K36" i="2"/>
  <c r="K37" i="2"/>
  <c r="U36" i="2"/>
  <c r="U37" i="2"/>
  <c r="V36" i="2"/>
  <c r="V37" i="2"/>
  <c r="X36" i="2"/>
  <c r="X37" i="2"/>
  <c r="AA36" i="2"/>
  <c r="AA37" i="2"/>
  <c r="G42" i="2"/>
  <c r="S42" i="2"/>
  <c r="Y42" i="2"/>
  <c r="G43" i="2"/>
  <c r="G66" i="2"/>
  <c r="G80" i="2"/>
  <c r="S43" i="2"/>
  <c r="Y43" i="2"/>
  <c r="G44" i="2"/>
  <c r="G70" i="2"/>
  <c r="S44" i="2"/>
  <c r="Y44" i="2"/>
  <c r="G45" i="2"/>
  <c r="S45" i="2"/>
  <c r="Y45" i="2"/>
  <c r="G47" i="2"/>
  <c r="S47" i="2"/>
  <c r="Y47" i="2"/>
  <c r="D58" i="2"/>
  <c r="E58" i="2"/>
  <c r="O63" i="2"/>
  <c r="O64" i="2"/>
  <c r="C63" i="2"/>
  <c r="D63" i="2"/>
  <c r="F63" i="2"/>
  <c r="I63" i="2"/>
  <c r="J63" i="2"/>
  <c r="K63" i="2"/>
  <c r="L63" i="2"/>
  <c r="P63" i="2"/>
  <c r="C64" i="2"/>
  <c r="D64" i="2"/>
  <c r="E64" i="2"/>
  <c r="F64" i="2"/>
  <c r="J64" i="2"/>
  <c r="K64" i="2"/>
  <c r="L64" i="2"/>
  <c r="P64" i="2"/>
  <c r="S65" i="2"/>
  <c r="Y65" i="2"/>
  <c r="C66" i="2"/>
  <c r="C80" i="2"/>
  <c r="D66" i="2"/>
  <c r="D80" i="2"/>
  <c r="E66" i="2"/>
  <c r="E80" i="2"/>
  <c r="F66" i="2"/>
  <c r="F80" i="2"/>
  <c r="I66" i="2"/>
  <c r="I80" i="2"/>
  <c r="J66" i="2"/>
  <c r="J80" i="2"/>
  <c r="K66" i="2"/>
  <c r="K80" i="2"/>
  <c r="L66" i="2"/>
  <c r="L80" i="2"/>
  <c r="Y66" i="2"/>
  <c r="G67" i="2"/>
  <c r="M67" i="2"/>
  <c r="S67" i="2"/>
  <c r="Y67" i="2"/>
  <c r="G68" i="2"/>
  <c r="S68" i="2"/>
  <c r="Y68" i="2"/>
  <c r="Y69" i="2"/>
  <c r="C70" i="2"/>
  <c r="D70" i="2"/>
  <c r="E70" i="2"/>
  <c r="F70" i="2"/>
  <c r="I70" i="2"/>
  <c r="J70" i="2"/>
  <c r="K70" i="2"/>
  <c r="L70" i="2"/>
  <c r="AK29" i="2"/>
  <c r="AK30" i="2"/>
  <c r="C32" i="2"/>
  <c r="D17" i="2"/>
  <c r="D20" i="2"/>
  <c r="D21" i="2"/>
  <c r="AI13" i="2"/>
  <c r="AK13" i="2"/>
  <c r="AJ25" i="2"/>
  <c r="AK24" i="2"/>
  <c r="AK16" i="2"/>
  <c r="AJ17" i="2"/>
  <c r="AJ20" i="2"/>
  <c r="AK27" i="2"/>
  <c r="R32" i="2"/>
  <c r="R36" i="2"/>
  <c r="R37" i="2"/>
  <c r="AE69" i="2"/>
  <c r="AE87" i="2"/>
  <c r="P36" i="2"/>
  <c r="P37" i="2"/>
  <c r="AE68" i="2"/>
  <c r="AK15" i="2"/>
  <c r="AV32" i="2"/>
  <c r="M13" i="2"/>
  <c r="L20" i="2"/>
  <c r="L18" i="2"/>
  <c r="L19" i="2"/>
  <c r="AV82" i="2"/>
  <c r="G31" i="2"/>
  <c r="G32" i="2"/>
  <c r="AU36" i="2"/>
  <c r="AU37" i="2"/>
  <c r="AU18" i="2"/>
  <c r="AU19" i="2"/>
  <c r="I64" i="2"/>
  <c r="M30" i="2"/>
  <c r="O36" i="2"/>
  <c r="O37" i="2"/>
  <c r="O32" i="2"/>
  <c r="I32" i="2"/>
  <c r="I39" i="2"/>
  <c r="AC88" i="2"/>
  <c r="Q32" i="2"/>
  <c r="Q36" i="2"/>
  <c r="Q37" i="2"/>
  <c r="X17" i="2"/>
  <c r="X20" i="2"/>
  <c r="X21" i="2"/>
  <c r="Y15" i="2"/>
  <c r="Y29" i="2"/>
  <c r="M32" i="2"/>
  <c r="AJ21" i="2"/>
  <c r="C17" i="2"/>
  <c r="C20" i="2"/>
  <c r="G15" i="2"/>
  <c r="R17" i="2"/>
  <c r="R20" i="2"/>
  <c r="S29" i="2"/>
  <c r="Q17" i="2"/>
  <c r="Q20" i="2"/>
  <c r="O17" i="2"/>
  <c r="O20" i="2"/>
  <c r="O21" i="2"/>
  <c r="S15" i="2"/>
  <c r="S32" i="2"/>
  <c r="AV17" i="2"/>
  <c r="AI36" i="2"/>
  <c r="AI37" i="2"/>
  <c r="AI18" i="2"/>
  <c r="AI19" i="2"/>
  <c r="O39" i="2"/>
  <c r="AP13" i="2"/>
  <c r="S66" i="2"/>
  <c r="AB36" i="2"/>
  <c r="AB37" i="2"/>
  <c r="Y63" i="2"/>
  <c r="AK36" i="2"/>
  <c r="AK37" i="2"/>
  <c r="AE18" i="2"/>
  <c r="AE19" i="2"/>
  <c r="AY13" i="2"/>
  <c r="G17" i="2"/>
  <c r="G20" i="2"/>
  <c r="G40" i="2"/>
  <c r="AK17" i="2"/>
  <c r="AK20" i="2"/>
  <c r="AK21" i="2"/>
  <c r="J39" i="2"/>
  <c r="F39" i="2"/>
  <c r="F40" i="2"/>
  <c r="F46" i="2"/>
  <c r="F48" i="2"/>
  <c r="F82" i="2"/>
  <c r="S17" i="2"/>
  <c r="Q39" i="2"/>
  <c r="Q40" i="2"/>
  <c r="Q46" i="2"/>
  <c r="Q48" i="2"/>
  <c r="U39" i="2"/>
  <c r="AE63" i="2"/>
  <c r="AE81" i="2"/>
  <c r="AK25" i="2"/>
  <c r="AK64" i="2"/>
  <c r="AK82" i="2"/>
  <c r="AV27" i="2"/>
  <c r="AV28" i="2"/>
  <c r="C39" i="2"/>
  <c r="Y64" i="2"/>
  <c r="S28" i="2"/>
  <c r="S39" i="2"/>
  <c r="E39" i="2"/>
  <c r="E40" i="2"/>
  <c r="E46" i="2"/>
  <c r="E48" i="2"/>
  <c r="V39" i="2"/>
  <c r="AE25" i="2"/>
  <c r="AU20" i="2"/>
  <c r="AU21" i="2"/>
  <c r="J21" i="2"/>
  <c r="J40" i="2"/>
  <c r="J46" i="2"/>
  <c r="J48" i="2"/>
  <c r="J51" i="2"/>
  <c r="J55" i="2"/>
  <c r="O40" i="2"/>
  <c r="O46" i="2"/>
  <c r="O48" i="2"/>
  <c r="O51" i="2"/>
  <c r="O55" i="2"/>
  <c r="Y17" i="2"/>
  <c r="Y20" i="2"/>
  <c r="Y21" i="2"/>
  <c r="AD36" i="2"/>
  <c r="AD37" i="2"/>
  <c r="AK18" i="2"/>
  <c r="AK19" i="2"/>
  <c r="AV30" i="2"/>
  <c r="AJ39" i="2"/>
  <c r="AO26" i="2"/>
  <c r="AO27" i="2"/>
  <c r="G36" i="2"/>
  <c r="G37" i="2"/>
  <c r="M64" i="2"/>
  <c r="S18" i="2"/>
  <c r="S19" i="2"/>
  <c r="S80" i="2"/>
  <c r="P39" i="2"/>
  <c r="U40" i="2"/>
  <c r="U46" i="2"/>
  <c r="U48" i="2"/>
  <c r="S81" i="2"/>
  <c r="AT39" i="2"/>
  <c r="AT40" i="2"/>
  <c r="AT46" i="2"/>
  <c r="AW47" i="2"/>
  <c r="AW48" i="2"/>
  <c r="M28" i="2"/>
  <c r="L39" i="2"/>
  <c r="L40" i="2"/>
  <c r="L46" i="2"/>
  <c r="L48" i="2"/>
  <c r="AD39" i="2"/>
  <c r="AV20" i="2"/>
  <c r="Y32" i="2"/>
  <c r="AV24" i="2"/>
  <c r="AV25" i="2"/>
  <c r="AV39" i="2"/>
  <c r="AV40" i="2"/>
  <c r="AV46" i="2"/>
  <c r="AT82" i="2"/>
  <c r="R39" i="2"/>
  <c r="R40" i="2"/>
  <c r="R46" i="2"/>
  <c r="R48" i="2"/>
  <c r="S63" i="2"/>
  <c r="K39" i="2"/>
  <c r="K40" i="2"/>
  <c r="K46" i="2"/>
  <c r="K48" i="2"/>
  <c r="G28" i="2"/>
  <c r="G39" i="2"/>
  <c r="Q21" i="2"/>
  <c r="AB21" i="2"/>
  <c r="AB40" i="2"/>
  <c r="AB46" i="2"/>
  <c r="P40" i="2"/>
  <c r="P46" i="2"/>
  <c r="P48" i="2"/>
  <c r="P82" i="2"/>
  <c r="P89" i="2"/>
  <c r="P92" i="2"/>
  <c r="P94" i="2"/>
  <c r="AT48" i="2"/>
  <c r="AV21" i="2"/>
  <c r="C40" i="2"/>
  <c r="C46" i="2"/>
  <c r="R21" i="2"/>
  <c r="AI21" i="2"/>
  <c r="AI40" i="2"/>
  <c r="AI46" i="2"/>
  <c r="AI48" i="2"/>
  <c r="V40" i="2"/>
  <c r="V46" i="2"/>
  <c r="V48" i="2"/>
  <c r="Y36" i="2"/>
  <c r="Y37" i="2"/>
  <c r="AQ26" i="2"/>
  <c r="AQ27" i="2"/>
  <c r="AV18" i="2"/>
  <c r="AV19" i="2"/>
  <c r="AV36" i="2"/>
  <c r="AV37" i="2"/>
  <c r="AH39" i="2"/>
  <c r="AH40" i="2"/>
  <c r="AH46" i="2"/>
  <c r="AA39" i="2"/>
  <c r="AA40" i="2"/>
  <c r="AA46" i="2"/>
  <c r="Y81" i="2"/>
  <c r="AC39" i="2"/>
  <c r="AC40" i="2"/>
  <c r="AC46" i="2"/>
  <c r="AC48" i="2"/>
  <c r="AC62" i="2"/>
  <c r="M25" i="2"/>
  <c r="S64" i="2"/>
  <c r="S20" i="2"/>
  <c r="G64" i="2"/>
  <c r="S36" i="2"/>
  <c r="S37" i="2"/>
  <c r="Y28" i="2"/>
  <c r="D39" i="2"/>
  <c r="D40" i="2"/>
  <c r="D46" i="2"/>
  <c r="M17" i="2"/>
  <c r="Y18" i="2"/>
  <c r="Y19" i="2"/>
  <c r="X39" i="2"/>
  <c r="X40" i="2"/>
  <c r="X46" i="2"/>
  <c r="Y70" i="2"/>
  <c r="Y80" i="2"/>
  <c r="AD20" i="2"/>
  <c r="AE32" i="2"/>
  <c r="AE64" i="2"/>
  <c r="AE82" i="2"/>
  <c r="G21" i="2"/>
  <c r="J54" i="2"/>
  <c r="J62" i="2"/>
  <c r="J82" i="2"/>
  <c r="V99" i="2"/>
  <c r="C48" i="2"/>
  <c r="F51" i="2"/>
  <c r="F55" i="2"/>
  <c r="F54" i="2"/>
  <c r="F62" i="2"/>
  <c r="P62" i="2"/>
  <c r="P71" i="2"/>
  <c r="P74" i="2"/>
  <c r="P76" i="2"/>
  <c r="AC51" i="2"/>
  <c r="AC55" i="2"/>
  <c r="E54" i="2"/>
  <c r="E62" i="2"/>
  <c r="E51" i="2"/>
  <c r="E55" i="2"/>
  <c r="E82" i="2"/>
  <c r="P21" i="2"/>
  <c r="C21" i="2"/>
  <c r="U21" i="2"/>
  <c r="L21" i="2"/>
  <c r="M20" i="2"/>
  <c r="M36" i="2"/>
  <c r="M18" i="2"/>
  <c r="M19" i="2"/>
  <c r="AK39" i="2"/>
  <c r="AE70" i="2"/>
  <c r="AE88" i="2"/>
  <c r="AD88" i="2"/>
  <c r="AK70" i="2"/>
  <c r="AK88" i="2"/>
  <c r="AG88" i="2"/>
  <c r="AJ40" i="2"/>
  <c r="AJ46" i="2"/>
  <c r="AG39" i="2"/>
  <c r="K21" i="2"/>
  <c r="I40" i="2"/>
  <c r="I46" i="2"/>
  <c r="I48" i="2"/>
  <c r="W32" i="2"/>
  <c r="W39" i="2"/>
  <c r="W40" i="2"/>
  <c r="W46" i="2"/>
  <c r="W36" i="2"/>
  <c r="W37" i="2"/>
  <c r="AG81" i="2"/>
  <c r="AK63" i="2"/>
  <c r="AK81" i="2"/>
  <c r="AH87" i="2"/>
  <c r="AK69" i="2"/>
  <c r="AK87" i="2"/>
  <c r="AE20" i="2"/>
  <c r="AE36" i="2"/>
  <c r="AE37" i="2"/>
  <c r="R62" i="2"/>
  <c r="R71" i="2"/>
  <c r="R74" i="2"/>
  <c r="R76" i="2"/>
  <c r="R54" i="2"/>
  <c r="R51" i="2"/>
  <c r="R55" i="2"/>
  <c r="Q51" i="2"/>
  <c r="Q55" i="2"/>
  <c r="Q62" i="2"/>
  <c r="Q71" i="2"/>
  <c r="Q74" i="2"/>
  <c r="Q76" i="2"/>
  <c r="AK40" i="2"/>
  <c r="P54" i="2"/>
  <c r="S40" i="2"/>
  <c r="S46" i="2"/>
  <c r="AC54" i="2"/>
  <c r="O54" i="2"/>
  <c r="Y39" i="2"/>
  <c r="AU40" i="2"/>
  <c r="AU46" i="2"/>
  <c r="AC99" i="2"/>
  <c r="S21" i="2"/>
  <c r="O62" i="2"/>
  <c r="O71" i="2"/>
  <c r="AT99" i="2"/>
  <c r="U99" i="2"/>
  <c r="P51" i="2"/>
  <c r="P55" i="2"/>
  <c r="Q54" i="2"/>
  <c r="S48" i="2"/>
  <c r="S54" i="2"/>
  <c r="O82" i="2"/>
  <c r="M39" i="2"/>
  <c r="Y40" i="2"/>
  <c r="AI99" i="2"/>
  <c r="AV99" i="2"/>
  <c r="AV48" i="2"/>
  <c r="AH99" i="2"/>
  <c r="AH48" i="2"/>
  <c r="AH51" i="2"/>
  <c r="AH55" i="2"/>
  <c r="D48" i="2"/>
  <c r="G46" i="2"/>
  <c r="G48" i="2"/>
  <c r="AD21" i="2"/>
  <c r="AD40" i="2"/>
  <c r="AD46" i="2"/>
  <c r="AA99" i="2"/>
  <c r="AA48" i="2"/>
  <c r="AT62" i="2"/>
  <c r="AT54" i="2"/>
  <c r="AT51" i="2"/>
  <c r="AT55" i="2"/>
  <c r="AB99" i="2"/>
  <c r="AB48" i="2"/>
  <c r="AE39" i="2"/>
  <c r="AE40" i="2"/>
  <c r="AE46" i="2"/>
  <c r="AR26" i="2"/>
  <c r="AR27" i="2"/>
  <c r="X48" i="2"/>
  <c r="X99" i="2"/>
  <c r="W99" i="2"/>
  <c r="W48" i="2"/>
  <c r="Y46" i="2"/>
  <c r="Y99" i="2"/>
  <c r="I51" i="2"/>
  <c r="I55" i="2"/>
  <c r="I62" i="2"/>
  <c r="I82" i="2"/>
  <c r="I54" i="2"/>
  <c r="AG40" i="2"/>
  <c r="AG46" i="2"/>
  <c r="L54" i="2"/>
  <c r="L51" i="2"/>
  <c r="L55" i="2"/>
  <c r="L82" i="2"/>
  <c r="L62" i="2"/>
  <c r="E88" i="2"/>
  <c r="E89" i="2"/>
  <c r="E92" i="2"/>
  <c r="E94" i="2"/>
  <c r="E71" i="2"/>
  <c r="E74" i="2"/>
  <c r="E76" i="2"/>
  <c r="C54" i="2"/>
  <c r="C82" i="2"/>
  <c r="C51" i="2"/>
  <c r="C55" i="2"/>
  <c r="C62" i="2"/>
  <c r="S62" i="2"/>
  <c r="O88" i="2"/>
  <c r="S88" i="2"/>
  <c r="AE21" i="2"/>
  <c r="K54" i="2"/>
  <c r="K51" i="2"/>
  <c r="K55" i="2"/>
  <c r="K62" i="2"/>
  <c r="K82" i="2"/>
  <c r="AJ48" i="2"/>
  <c r="AJ99" i="2"/>
  <c r="M37" i="2"/>
  <c r="M35" i="2"/>
  <c r="U62" i="2"/>
  <c r="U51" i="2"/>
  <c r="U55" i="2"/>
  <c r="U82" i="2"/>
  <c r="Y48" i="2"/>
  <c r="U54" i="2"/>
  <c r="AI54" i="2"/>
  <c r="AI62" i="2"/>
  <c r="AI51" i="2"/>
  <c r="AI55" i="2"/>
  <c r="S82" i="2"/>
  <c r="V82" i="2"/>
  <c r="V54" i="2"/>
  <c r="V51" i="2"/>
  <c r="V55" i="2"/>
  <c r="V62" i="2"/>
  <c r="M40" i="2"/>
  <c r="M46" i="2"/>
  <c r="M48" i="2"/>
  <c r="M21" i="2"/>
  <c r="AC80" i="2"/>
  <c r="AC89" i="2"/>
  <c r="AC92" i="2"/>
  <c r="AC94" i="2"/>
  <c r="AC71" i="2"/>
  <c r="AC74" i="2"/>
  <c r="AC76" i="2"/>
  <c r="AH54" i="2"/>
  <c r="F88" i="2"/>
  <c r="F89" i="2"/>
  <c r="F92" i="2"/>
  <c r="F94" i="2"/>
  <c r="F71" i="2"/>
  <c r="F74" i="2"/>
  <c r="F76" i="2"/>
  <c r="G62" i="2"/>
  <c r="G54" i="2"/>
  <c r="G51" i="2"/>
  <c r="G55" i="2"/>
  <c r="G82" i="2"/>
  <c r="J88" i="2"/>
  <c r="J89" i="2"/>
  <c r="J92" i="2"/>
  <c r="J94" i="2"/>
  <c r="J71" i="2"/>
  <c r="J74" i="2"/>
  <c r="J76" i="2"/>
  <c r="AU48" i="2"/>
  <c r="AU99" i="2"/>
  <c r="S51" i="2"/>
  <c r="S55" i="2"/>
  <c r="AY39" i="2"/>
  <c r="AH62" i="2"/>
  <c r="AH80" i="2"/>
  <c r="AH89" i="2"/>
  <c r="AH92" i="2"/>
  <c r="AH94" i="2"/>
  <c r="AB54" i="2"/>
  <c r="AB51" i="2"/>
  <c r="AB55" i="2"/>
  <c r="AB62" i="2"/>
  <c r="AT71" i="2"/>
  <c r="AT74" i="2"/>
  <c r="AT76" i="2"/>
  <c r="AT80" i="2"/>
  <c r="AT89" i="2"/>
  <c r="AT92" i="2"/>
  <c r="AT94" i="2"/>
  <c r="X62" i="2"/>
  <c r="X82" i="2"/>
  <c r="X54" i="2"/>
  <c r="X51" i="2"/>
  <c r="X55" i="2"/>
  <c r="AV51" i="2"/>
  <c r="AV55" i="2"/>
  <c r="AV62" i="2"/>
  <c r="AV54" i="2"/>
  <c r="AA54" i="2"/>
  <c r="AA62" i="2"/>
  <c r="AA51" i="2"/>
  <c r="AA55" i="2"/>
  <c r="O89" i="2"/>
  <c r="O92" i="2"/>
  <c r="O94" i="2"/>
  <c r="AD99" i="2"/>
  <c r="AD48" i="2"/>
  <c r="D62" i="2"/>
  <c r="D54" i="2"/>
  <c r="D82" i="2"/>
  <c r="D51" i="2"/>
  <c r="D55" i="2"/>
  <c r="G88" i="2"/>
  <c r="G89" i="2"/>
  <c r="G92" i="2"/>
  <c r="G94" i="2"/>
  <c r="G71" i="2"/>
  <c r="G74" i="2"/>
  <c r="G76" i="2"/>
  <c r="U71" i="2"/>
  <c r="U88" i="2"/>
  <c r="U89" i="2"/>
  <c r="AJ62" i="2"/>
  <c r="AJ54" i="2"/>
  <c r="AJ51" i="2"/>
  <c r="AJ55" i="2"/>
  <c r="O74" i="2"/>
  <c r="O76" i="2"/>
  <c r="S71" i="2"/>
  <c r="S74" i="2"/>
  <c r="S76" i="2"/>
  <c r="C88" i="2"/>
  <c r="C89" i="2"/>
  <c r="C92" i="2"/>
  <c r="C94" i="2"/>
  <c r="C71" i="2"/>
  <c r="C74" i="2"/>
  <c r="C76" i="2"/>
  <c r="M82" i="2"/>
  <c r="M51" i="2"/>
  <c r="M55" i="2"/>
  <c r="M62" i="2"/>
  <c r="M54" i="2"/>
  <c r="Y54" i="2"/>
  <c r="Y82" i="2"/>
  <c r="Y51" i="2"/>
  <c r="Y55" i="2"/>
  <c r="V88" i="2"/>
  <c r="V89" i="2"/>
  <c r="V92" i="2"/>
  <c r="V94" i="2"/>
  <c r="V71" i="2"/>
  <c r="V74" i="2"/>
  <c r="V76" i="2"/>
  <c r="S89" i="2"/>
  <c r="S92" i="2"/>
  <c r="S94" i="2"/>
  <c r="AI80" i="2"/>
  <c r="AI89" i="2"/>
  <c r="AI92" i="2"/>
  <c r="AI94" i="2"/>
  <c r="AI71" i="2"/>
  <c r="AI74" i="2"/>
  <c r="AI76" i="2"/>
  <c r="K88" i="2"/>
  <c r="K89" i="2"/>
  <c r="K92" i="2"/>
  <c r="K94" i="2"/>
  <c r="K71" i="2"/>
  <c r="K74" i="2"/>
  <c r="K76" i="2"/>
  <c r="AE48" i="2"/>
  <c r="AE99" i="2"/>
  <c r="W54" i="2"/>
  <c r="W82" i="2"/>
  <c r="W62" i="2"/>
  <c r="W51" i="2"/>
  <c r="W55" i="2"/>
  <c r="L88" i="2"/>
  <c r="L89" i="2"/>
  <c r="L92" i="2"/>
  <c r="L94" i="2"/>
  <c r="L71" i="2"/>
  <c r="L74" i="2"/>
  <c r="L76" i="2"/>
  <c r="AG99" i="2"/>
  <c r="AG48" i="2"/>
  <c r="AK46" i="2"/>
  <c r="AK99" i="2"/>
  <c r="I88" i="2"/>
  <c r="I89" i="2"/>
  <c r="I92" i="2"/>
  <c r="I94" i="2"/>
  <c r="I71" i="2"/>
  <c r="I74" i="2"/>
  <c r="I76" i="2"/>
  <c r="AU54" i="2"/>
  <c r="AU51" i="2"/>
  <c r="AU55" i="2"/>
  <c r="AU62" i="2"/>
  <c r="AH71" i="2"/>
  <c r="AH74" i="2"/>
  <c r="AH76" i="2"/>
  <c r="AD54" i="2"/>
  <c r="AD62" i="2"/>
  <c r="AD51" i="2"/>
  <c r="AD55" i="2"/>
  <c r="AA80" i="2"/>
  <c r="AA89" i="2"/>
  <c r="AA92" i="2"/>
  <c r="AA94" i="2"/>
  <c r="AA71" i="2"/>
  <c r="AA74" i="2"/>
  <c r="AA76" i="2"/>
  <c r="X71" i="2"/>
  <c r="X74" i="2"/>
  <c r="X76" i="2"/>
  <c r="X78" i="2"/>
  <c r="X88" i="2"/>
  <c r="X89" i="2"/>
  <c r="X92" i="2"/>
  <c r="X94" i="2"/>
  <c r="D88" i="2"/>
  <c r="D89" i="2"/>
  <c r="D92" i="2"/>
  <c r="D94" i="2"/>
  <c r="D71" i="2"/>
  <c r="D74" i="2"/>
  <c r="D76" i="2"/>
  <c r="AV71" i="2"/>
  <c r="AV74" i="2"/>
  <c r="AV76" i="2"/>
  <c r="AV80" i="2"/>
  <c r="AV89" i="2"/>
  <c r="AV92" i="2"/>
  <c r="AV94" i="2"/>
  <c r="AB71" i="2"/>
  <c r="AB74" i="2"/>
  <c r="AB76" i="2"/>
  <c r="AB80" i="2"/>
  <c r="AB89" i="2"/>
  <c r="AB92" i="2"/>
  <c r="AB94" i="2"/>
  <c r="W88" i="2"/>
  <c r="W71" i="2"/>
  <c r="W74" i="2"/>
  <c r="W76" i="2"/>
  <c r="U92" i="2"/>
  <c r="U94" i="2"/>
  <c r="M88" i="2"/>
  <c r="M89" i="2"/>
  <c r="M92" i="2"/>
  <c r="M94" i="2"/>
  <c r="M71" i="2"/>
  <c r="M74" i="2"/>
  <c r="M76" i="2"/>
  <c r="AJ80" i="2"/>
  <c r="AJ89" i="2"/>
  <c r="AJ92" i="2"/>
  <c r="AJ94" i="2"/>
  <c r="AJ71" i="2"/>
  <c r="AJ74" i="2"/>
  <c r="AJ76" i="2"/>
  <c r="AE54" i="2"/>
  <c r="AE62" i="2"/>
  <c r="AE51" i="2"/>
  <c r="AE55" i="2"/>
  <c r="V78" i="2"/>
  <c r="AB78" i="2"/>
  <c r="AG54" i="2"/>
  <c r="AG62" i="2"/>
  <c r="AK48" i="2"/>
  <c r="AK54" i="2"/>
  <c r="AG51" i="2"/>
  <c r="Y62" i="2"/>
  <c r="U74" i="2"/>
  <c r="U76" i="2"/>
  <c r="AU80" i="2"/>
  <c r="AU89" i="2"/>
  <c r="AU92" i="2"/>
  <c r="AU94" i="2"/>
  <c r="AU71" i="2"/>
  <c r="AU74" i="2"/>
  <c r="AU76" i="2"/>
  <c r="Y88" i="2"/>
  <c r="Y71" i="2"/>
  <c r="Y74" i="2"/>
  <c r="Y76" i="2"/>
  <c r="AD71" i="2"/>
  <c r="AD74" i="2"/>
  <c r="AD76" i="2"/>
  <c r="AD78" i="2"/>
  <c r="AD80" i="2"/>
  <c r="AD89" i="2"/>
  <c r="AD92" i="2"/>
  <c r="AD94" i="2"/>
  <c r="AK62" i="2"/>
  <c r="AK80" i="2"/>
  <c r="AG80" i="2"/>
  <c r="AG89" i="2"/>
  <c r="AG71" i="2"/>
  <c r="W89" i="2"/>
  <c r="AG55" i="2"/>
  <c r="AK51" i="2"/>
  <c r="AK55" i="2"/>
  <c r="AE80" i="2"/>
  <c r="AE89" i="2"/>
  <c r="AE92" i="2"/>
  <c r="AE94" i="2"/>
  <c r="AE71" i="2"/>
  <c r="AE74" i="2"/>
  <c r="AE76" i="2"/>
  <c r="AE78" i="2"/>
  <c r="U78" i="2"/>
  <c r="AA78" i="2"/>
  <c r="W78" i="2"/>
  <c r="AC78" i="2"/>
  <c r="W92" i="2"/>
  <c r="W94" i="2"/>
  <c r="Y89" i="2"/>
  <c r="Y92" i="2"/>
  <c r="Y94" i="2"/>
  <c r="AK71" i="2"/>
  <c r="AK74" i="2"/>
  <c r="AK76" i="2"/>
  <c r="AG74" i="2"/>
  <c r="AG76" i="2"/>
  <c r="AG78" i="2"/>
  <c r="AG92" i="2"/>
  <c r="AG94" i="2"/>
  <c r="AK89" i="2"/>
  <c r="AK92" i="2"/>
  <c r="AK94" i="2"/>
</calcChain>
</file>

<file path=xl/comments1.xml><?xml version="1.0" encoding="utf-8"?>
<comments xmlns="http://schemas.openxmlformats.org/spreadsheetml/2006/main">
  <authors>
    <author>ssmith</author>
    <author>nfaris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ssmith:</t>
        </r>
        <r>
          <rPr>
            <sz val="8"/>
            <color indexed="81"/>
            <rFont val="Tahoma"/>
            <family val="2"/>
          </rPr>
          <t xml:space="preserve">
sum of cost of service (before NW related dep) and cost of service (headcount)</t>
        </r>
      </text>
    </comment>
    <comment ref="A80" authorId="1">
      <text>
        <r>
          <rPr>
            <b/>
            <sz val="8"/>
            <color indexed="81"/>
            <rFont val="Tahoma"/>
            <family val="2"/>
          </rPr>
          <t>nfaris:</t>
        </r>
        <r>
          <rPr>
            <sz val="8"/>
            <color indexed="81"/>
            <rFont val="Tahoma"/>
            <family val="2"/>
          </rPr>
          <t xml:space="preserve">
Public metrics has to be changed to this section which removes the NOL tax credit</t>
        </r>
      </text>
    </comment>
  </commentList>
</comments>
</file>

<file path=xl/sharedStrings.xml><?xml version="1.0" encoding="utf-8"?>
<sst xmlns="http://schemas.openxmlformats.org/spreadsheetml/2006/main" count="149" uniqueCount="85">
  <si>
    <t>GAAP COGS</t>
  </si>
  <si>
    <t>GAAP R&amp;D</t>
  </si>
  <si>
    <t>GAAP S&amp;M</t>
  </si>
  <si>
    <t xml:space="preserve"> </t>
  </si>
  <si>
    <t>GAAP G&amp;A</t>
  </si>
  <si>
    <t>GAAP Op. Income</t>
  </si>
  <si>
    <t>Net income</t>
  </si>
  <si>
    <t>Net income per share:</t>
  </si>
  <si>
    <t xml:space="preserve">   </t>
  </si>
  <si>
    <t>Dep. &amp; Amort - G&amp;A</t>
  </si>
  <si>
    <t>Adj. EBITDA</t>
  </si>
  <si>
    <t>Basic</t>
  </si>
  <si>
    <t>Diluted</t>
  </si>
  <si>
    <t>Shares used in per share calculations:</t>
  </si>
  <si>
    <t>Normalized net income</t>
  </si>
  <si>
    <t>Dep. &amp; amort. - network</t>
  </si>
  <si>
    <t>GAAP gross profit</t>
  </si>
  <si>
    <t>GAAP gross margin</t>
  </si>
  <si>
    <t>Adj. EBITDA margin</t>
  </si>
  <si>
    <t>GAAP Net income</t>
  </si>
  <si>
    <t>Loss on early extinguishment of debt</t>
  </si>
  <si>
    <t>Release of deferred tax valuation allowance</t>
  </si>
  <si>
    <t>Q1</t>
  </si>
  <si>
    <t>Q2</t>
  </si>
  <si>
    <t>Q3</t>
  </si>
  <si>
    <t>Q4</t>
  </si>
  <si>
    <t>Akamai Technologies, Inc.</t>
  </si>
  <si>
    <t>Normalized net income per diluted share</t>
  </si>
  <si>
    <t>Pro forma COGS</t>
  </si>
  <si>
    <t>Pro forma gross profit</t>
  </si>
  <si>
    <t>Pro forma gross margin</t>
  </si>
  <si>
    <t>Pro forma R&amp;D</t>
  </si>
  <si>
    <t>Pro forma S&amp;M</t>
  </si>
  <si>
    <t>Pro forma G&amp;A</t>
  </si>
  <si>
    <t>Loss of early extinguishment of debt</t>
  </si>
  <si>
    <t>FY</t>
  </si>
  <si>
    <t>In thousands, except per share data</t>
  </si>
  <si>
    <t>Diluted shares used in normalized net income calculations</t>
  </si>
  <si>
    <t>Interest add-back for normalized diluted share calculation</t>
  </si>
  <si>
    <t>Normalized net income for diluted earnings per share</t>
  </si>
  <si>
    <t>Interest add-back for GAAP diluted share calculation</t>
  </si>
  <si>
    <t>Net income for diluted earnings per share</t>
  </si>
  <si>
    <t>Total Revenue</t>
  </si>
  <si>
    <t>Utilization of tax NOL carryforward</t>
  </si>
  <si>
    <t>GAAP OpEx (excluding COGS)</t>
  </si>
  <si>
    <t>Stock comp. - network</t>
  </si>
  <si>
    <t>Stock comp. - R&amp;D</t>
  </si>
  <si>
    <t>Stock comp. - S&amp;M</t>
  </si>
  <si>
    <t>Stock comp. - G&amp;A</t>
  </si>
  <si>
    <t>Public Sector</t>
  </si>
  <si>
    <t>Forecast</t>
  </si>
  <si>
    <t>add depr of equity comp</t>
  </si>
  <si>
    <t>cogs w deprec</t>
  </si>
  <si>
    <t>HC Cogs</t>
  </si>
  <si>
    <t>Interest income, net</t>
  </si>
  <si>
    <t>Other income (expense), net</t>
  </si>
  <si>
    <t>Income before provision for income taxes</t>
  </si>
  <si>
    <t>Provision for income taxes</t>
  </si>
  <si>
    <t>(Gain) loss on investments, net</t>
  </si>
  <si>
    <t>Media &amp; Entertainment</t>
  </si>
  <si>
    <t>Commerce</t>
  </si>
  <si>
    <t>High Tech</t>
  </si>
  <si>
    <t>Don't include</t>
  </si>
  <si>
    <t>Restructuring charge (benefit)</t>
  </si>
  <si>
    <t>(Loss) gain on investments, net</t>
  </si>
  <si>
    <t>Stock-based compensation</t>
  </si>
  <si>
    <t>Amortization of capitalized stock-based compensation</t>
  </si>
  <si>
    <t>Amortization of other intangible assets</t>
  </si>
  <si>
    <t>Revenue by Vertical</t>
  </si>
  <si>
    <t>Supplemental Metrics (unaudited)</t>
  </si>
  <si>
    <t>Q109 YoY</t>
  </si>
  <si>
    <t>Q109 QoQ</t>
  </si>
  <si>
    <t>7/28O/L</t>
  </si>
  <si>
    <t>Tom</t>
  </si>
  <si>
    <t>2010</t>
  </si>
  <si>
    <t>* Non-cash tax expense for GAAP calculation</t>
  </si>
  <si>
    <t>Fully Taxed normalized net income for diluted earnings per share</t>
  </si>
  <si>
    <t>Fully taxed normalized net income per diluted share</t>
  </si>
  <si>
    <t>Fully taxed normalized net income</t>
  </si>
  <si>
    <t>Jun 30, 2010</t>
  </si>
  <si>
    <t>Revise</t>
  </si>
  <si>
    <t>Revenue by vertical</t>
  </si>
  <si>
    <t>Enterprise</t>
  </si>
  <si>
    <t>In thousands</t>
  </si>
  <si>
    <t xml:space="preserve">June 30, 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</si>
</sst>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#,##0.00_%_);\(#,##0.00\)_%;#,##0.00_%_);@_%_)"/>
    <numFmt numFmtId="170" formatCode="&quot;$&quot;#,##0_%_);\(&quot;$&quot;#,##0\)_%;&quot;$&quot;#,##0_%_);@_%_)"/>
    <numFmt numFmtId="171" formatCode="#,##0_%_);\(#,##0\)_%;#,##0_%_);@_%_)"/>
    <numFmt numFmtId="172" formatCode="&quot;$&quot;#,##0.00_%_);\(&quot;$&quot;#,##0.00\)_%;&quot;$&quot;#,##0.00_%_);@_%_)"/>
    <numFmt numFmtId="173" formatCode="0.0\%_);\(0.0\%\);0.0\%_);@_%_)"/>
    <numFmt numFmtId="174" formatCode="\£#,##0_);\(\£#,##0\)"/>
    <numFmt numFmtId="175" formatCode="\¥#,##0_);\(\¥#,##0\)"/>
    <numFmt numFmtId="176" formatCode="General_)"/>
    <numFmt numFmtId="177" formatCode="m/d/yy_%_)"/>
    <numFmt numFmtId="178" formatCode="0_%_);\(0\)_%;0_%_);@_%_)"/>
    <numFmt numFmtId="179" formatCode="#,##0.0\%_);\(#,##0.0\%\);#,##0.0\%_);@_%_)"/>
    <numFmt numFmtId="180" formatCode="#,##0.0\x_)_);\(#,##0.0\x\)_);#,##0.0\x_)_);@_%_)"/>
    <numFmt numFmtId="181" formatCode="_(&quot;$&quot;#,##0_)&quot;millions&quot;;\(&quot;$&quot;#,##0\)&quot; millions&quot;"/>
    <numFmt numFmtId="182" formatCode="&quot;$&quot;#,##0.00_)\ \ \ ;\(&quot;$&quot;#,##0.00\)\ \ \ "/>
    <numFmt numFmtId="183" formatCode="&quot;$&quot;#,##0.00&quot;*&quot;\ \ ;\(&quot;$&quot;#,##0.00\)&quot;*&quot;\ \ "/>
    <numFmt numFmtId="184" formatCode="&quot;$&quot;#,##0.00\A_)\ ;\(&quot;$&quot;#,##0.00\A\)\ \ "/>
    <numFmt numFmtId="185" formatCode="@\ \ \ \ \ "/>
    <numFmt numFmtId="186" formatCode="&quot;$&quot;#,##0.00_)\ \ \ \ \ ;\(&quot;$&quot;#,##0.00\)\ \ \ \ \ "/>
    <numFmt numFmtId="187" formatCode="0.0\ "/>
    <numFmt numFmtId="188" formatCode="&quot;$&quot;#\-?/?"/>
    <numFmt numFmtId="189" formatCode="0.00\ \ \ \ "/>
    <numFmt numFmtId="190" formatCode="@\ "/>
    <numFmt numFmtId="191" formatCode="&quot;$&quot;@"/>
    <numFmt numFmtId="192" formatCode="0.0%\ \ \ \ \ "/>
    <numFmt numFmtId="193" formatCode="&quot;$&quot;#,##0.00\A\ \ \ \ ;\(&quot;$&quot;#,##0.00\A\)\ \ \ \ "/>
    <numFmt numFmtId="194" formatCode="&quot;$&quot;#,##0\ &quot;MM&quot;;\(&quot;$&quot;#,##0.00\ &quot;MM&quot;\)"/>
    <numFmt numFmtId="195" formatCode="&quot;$&quot;#,##0.00&quot;E&quot;\ \ \ \ ;\(&quot;$&quot;#,##0.00&quot;E&quot;\)\ \ \ \ "/>
    <numFmt numFmtId="196" formatCode="#,##0.00&quot;E&quot;\ \ \ \ ;\(#,##0.00&quot;E&quot;\)\ \ \ \ "/>
    <numFmt numFmtId="197" formatCode="#,##0.00\A\ \ \ \ ;\(#,##0.00\A\)\ \ \ \ "/>
    <numFmt numFmtId="198" formatCode="0%\ \ \ \ \ \ \ "/>
    <numFmt numFmtId="199" formatCode="_(&quot;$&quot;* #,##0_)\ &quot;millions&quot;;_(&quot;$&quot;* \(#,##0\)&quot; millions&quot;"/>
    <numFmt numFmtId="200" formatCode="#,##0\ ;\(#,##0.0\)"/>
    <numFmt numFmtId="201" formatCode="0,000"/>
    <numFmt numFmtId="202" formatCode="@&quot; MM&quot;"/>
    <numFmt numFmtId="203" formatCode="_-* #,##0_-;\-* #,##0_-;_-* &quot;-&quot;_-;_-@_-"/>
    <numFmt numFmtId="204" formatCode="&quot;\&quot;\$#,##0_);[Red]&quot;\&quot;\(&quot;\&quot;\$#,##0&quot;\&quot;\)"/>
    <numFmt numFmtId="205" formatCode="0%;\(0%\)"/>
    <numFmt numFmtId="206" formatCode="_(* #,##0,_);_(* \(#,##0,\);_(* &quot;-&quot;_);_(@_)"/>
    <numFmt numFmtId="207" formatCode="_(* #,##0_);[Red]_(* \(#,##0\);_(* &quot;&quot;\ \-\ &quot;&quot;_);_(@_)"/>
    <numFmt numFmtId="208" formatCode="_(* #,##0_);[Red]_(* \(#,##0\);_(* &quot;&quot;&quot;&quot;\ \-\ &quot;&quot;&quot;&quot;_);_(@_)"/>
    <numFmt numFmtId="209" formatCode="_(* #,##0,_);[Red]_(* \(#,##0,\);_(* &quot;&quot;&quot;&quot;\ \-\ &quot;&quot;&quot;&quot;_);_(@_)"/>
    <numFmt numFmtId="210" formatCode="_(* #,##0,,_);_(* \(#,##0,,\);_(* &quot;-&quot;_)"/>
    <numFmt numFmtId="211" formatCode="_(* #,##0_);[Red]_(* \(#,##0\);_(* &quot;&quot;&quot;&quot;&quot;&quot;&quot;&quot;\ \-\ &quot;&quot;&quot;&quot;&quot;&quot;&quot;&quot;_);_(@_)"/>
    <numFmt numFmtId="212" formatCode="_(* #,##0,_);[Red]_(* \(#,##0,\);_(* &quot;&quot;&quot;&quot;&quot;&quot;&quot;&quot;\ \-\ &quot;&quot;&quot;&quot;&quot;&quot;&quot;&quot;_);_(@_)"/>
    <numFmt numFmtId="213" formatCode="0%;\(0%\);;"/>
    <numFmt numFmtId="214" formatCode="_(* #,##0.0000_);_(* \(#,##0.0000\);_(* &quot;-&quot;??_);_(@_)"/>
    <numFmt numFmtId="215" formatCode="#."/>
    <numFmt numFmtId="216" formatCode="_-* #,##0\ _F_-;\-* #,##0\ _F_-;_-* &quot;-&quot;\ _F_-;_-@_-"/>
    <numFmt numFmtId="217" formatCode="#,##0.0,,_);[Red]\(#,##0.0,,\)"/>
    <numFmt numFmtId="218" formatCode="#,##0_);[Red]\(#,##0\);@_)"/>
    <numFmt numFmtId="219" formatCode="_([$€-2]* #,##0.00_);_([$€-2]* \(#,##0.00\);_([$€-2]* &quot;-&quot;??_)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9"/>
      <color indexed="8"/>
      <name val="Helvetica 65"/>
    </font>
    <font>
      <sz val="8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10"/>
      <name val="GillSans Light"/>
    </font>
    <font>
      <b/>
      <sz val="11"/>
      <name val="Helv"/>
    </font>
    <font>
      <sz val="7"/>
      <name val="Small Fonts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</font>
    <font>
      <u/>
      <sz val="10"/>
      <name val="GillSans"/>
      <family val="2"/>
    </font>
    <font>
      <sz val="10"/>
      <name val="Times New Roman"/>
      <family val="1"/>
    </font>
    <font>
      <sz val="8"/>
      <name val="Helvetica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sz val="12"/>
      <name val="Times New Roman"/>
      <family val="1"/>
    </font>
    <font>
      <u/>
      <sz val="11"/>
      <name val="GillSans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?? ?????"/>
      <charset val="128"/>
    </font>
    <font>
      <sz val="1"/>
      <color indexed="16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Palatino"/>
      <family val="1"/>
    </font>
    <font>
      <sz val="8"/>
      <name val="Helvetica"/>
      <family val="2"/>
    </font>
    <font>
      <sz val="8"/>
      <color indexed="12"/>
      <name val="Arial"/>
      <family val="2"/>
    </font>
    <font>
      <sz val="11"/>
      <name val="ＭＳ Ｐゴシック"/>
      <charset val="128"/>
    </font>
    <font>
      <sz val="9"/>
      <name val="Comic Sans MS"/>
      <family val="4"/>
    </font>
    <font>
      <b/>
      <sz val="13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"/>
      <color indexed="16"/>
      <name val="Courier"/>
      <family val="3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darkTrellis">
        <fgColor indexed="55"/>
        <b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</borders>
  <cellStyleXfs count="493">
    <xf numFmtId="0" fontId="0" fillId="0" borderId="0"/>
    <xf numFmtId="0" fontId="11" fillId="0" borderId="0"/>
    <xf numFmtId="8" fontId="12" fillId="0" borderId="0" applyFont="0" applyFill="0" applyBorder="0" applyAlignment="0" applyProtection="0"/>
    <xf numFmtId="0" fontId="11" fillId="0" borderId="0"/>
    <xf numFmtId="0" fontId="11" fillId="0" borderId="0"/>
    <xf numFmtId="5" fontId="12" fillId="0" borderId="0" applyFont="0" applyFill="0" applyBorder="0" applyAlignment="0" applyProtection="0"/>
    <xf numFmtId="181" fontId="11" fillId="0" borderId="0">
      <alignment horizontal="right"/>
    </xf>
    <xf numFmtId="182" fontId="11" fillId="2" borderId="0"/>
    <xf numFmtId="183" fontId="11" fillId="2" borderId="0"/>
    <xf numFmtId="184" fontId="11" fillId="2" borderId="0"/>
    <xf numFmtId="0" fontId="11" fillId="2" borderId="0">
      <alignment horizontal="right"/>
    </xf>
    <xf numFmtId="7" fontId="13" fillId="0" borderId="0">
      <alignment horizontal="right"/>
    </xf>
    <xf numFmtId="9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203" fontId="1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ont="0" applyFill="0" applyAlignment="0" applyProtection="0"/>
    <xf numFmtId="0" fontId="18" fillId="0" borderId="2" applyNumberFormat="0" applyFont="0" applyFill="0" applyProtection="0">
      <alignment horizontal="centerContinuous"/>
    </xf>
    <xf numFmtId="0" fontId="12" fillId="0" borderId="3" applyNumberFormat="0" applyFont="0" applyFill="0" applyAlignment="0" applyProtection="0"/>
    <xf numFmtId="0" fontId="12" fillId="0" borderId="4" applyNumberFormat="0" applyFont="0" applyFill="0" applyAlignment="0" applyProtection="0"/>
    <xf numFmtId="0" fontId="12" fillId="0" borderId="5" applyNumberFormat="0" applyFont="0" applyFill="0" applyAlignment="0" applyProtection="0"/>
    <xf numFmtId="0" fontId="12" fillId="0" borderId="6" applyNumberFormat="0" applyFont="0" applyFill="0" applyAlignment="0" applyProtection="0"/>
    <xf numFmtId="174" fontId="19" fillId="0" borderId="0" applyFont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8" fontId="17" fillId="0" borderId="0" applyFill="0" applyBorder="0" applyAlignment="0"/>
    <xf numFmtId="209" fontId="17" fillId="0" borderId="0" applyFill="0" applyBorder="0" applyAlignment="0"/>
    <xf numFmtId="210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20" fillId="0" borderId="3" applyNumberFormat="0" applyFill="0" applyProtection="0">
      <alignment horizontal="left" vertical="center"/>
    </xf>
    <xf numFmtId="43" fontId="3" fillId="0" borderId="0" applyFont="0" applyFill="0" applyBorder="0" applyAlignment="0" applyProtection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0" fontId="22" fillId="0" borderId="3"/>
    <xf numFmtId="206" fontId="3" fillId="0" borderId="0" applyFont="0" applyFill="0" applyBorder="0" applyAlignment="0" applyProtection="0"/>
    <xf numFmtId="171" fontId="23" fillId="0" borderId="0" applyFont="0" applyFill="0" applyBorder="0" applyAlignment="0" applyProtection="0">
      <alignment horizontal="right"/>
    </xf>
    <xf numFmtId="169" fontId="23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207" fontId="17" fillId="0" borderId="0" applyFont="0" applyFill="0" applyBorder="0" applyAlignment="0" applyProtection="0"/>
    <xf numFmtId="4" fontId="24" fillId="0" borderId="0"/>
    <xf numFmtId="170" fontId="23" fillId="0" borderId="0" applyFont="0" applyFill="0" applyBorder="0" applyAlignment="0" applyProtection="0">
      <alignment horizontal="right"/>
    </xf>
    <xf numFmtId="172" fontId="23" fillId="0" borderId="0" applyFont="0" applyFill="0" applyBorder="0" applyAlignment="0" applyProtection="0">
      <alignment horizontal="right"/>
    </xf>
    <xf numFmtId="185" fontId="11" fillId="2" borderId="5">
      <alignment horizontal="right"/>
    </xf>
    <xf numFmtId="185" fontId="11" fillId="2" borderId="5">
      <alignment horizontal="right"/>
    </xf>
    <xf numFmtId="177" fontId="25" fillId="0" borderId="0" applyFont="0" applyFill="0" applyBorder="0" applyProtection="0">
      <alignment horizontal="right"/>
    </xf>
    <xf numFmtId="177" fontId="23" fillId="0" borderId="0" applyFont="0" applyFill="0" applyBorder="0" applyAlignment="0" applyProtection="0"/>
    <xf numFmtId="14" fontId="26" fillId="0" borderId="0" applyFill="0" applyBorder="0" applyAlignment="0"/>
    <xf numFmtId="178" fontId="23" fillId="0" borderId="7" applyNumberFormat="0" applyFont="0" applyFill="0" applyAlignment="0" applyProtection="0"/>
    <xf numFmtId="42" fontId="27" fillId="0" borderId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39" fontId="11" fillId="3" borderId="0"/>
    <xf numFmtId="7" fontId="11" fillId="3" borderId="0" applyBorder="0"/>
    <xf numFmtId="193" fontId="11" fillId="0" borderId="0"/>
    <xf numFmtId="195" fontId="11" fillId="0" borderId="0"/>
    <xf numFmtId="39" fontId="11" fillId="3" borderId="0"/>
    <xf numFmtId="197" fontId="11" fillId="0" borderId="0"/>
    <xf numFmtId="196" fontId="11" fillId="0" borderId="0"/>
    <xf numFmtId="0" fontId="28" fillId="0" borderId="0" applyFill="0" applyBorder="0" applyProtection="0">
      <alignment horizontal="left"/>
    </xf>
    <xf numFmtId="186" fontId="11" fillId="0" borderId="8"/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38" fontId="29" fillId="2" borderId="0" applyNumberFormat="0" applyBorder="0" applyAlignment="0" applyProtection="0"/>
    <xf numFmtId="173" fontId="23" fillId="0" borderId="0" applyFont="0" applyFill="0" applyBorder="0" applyAlignment="0" applyProtection="0">
      <alignment horizontal="right"/>
    </xf>
    <xf numFmtId="0" fontId="30" fillId="0" borderId="0" applyProtection="0">
      <alignment horizontal="right"/>
    </xf>
    <xf numFmtId="0" fontId="31" fillId="0" borderId="9" applyNumberFormat="0" applyAlignment="0" applyProtection="0">
      <alignment horizontal="left" vertical="center"/>
    </xf>
    <xf numFmtId="0" fontId="31" fillId="0" borderId="10">
      <alignment horizontal="left" vertical="center"/>
    </xf>
    <xf numFmtId="0" fontId="32" fillId="0" borderId="0" applyProtection="0">
      <alignment horizontal="left"/>
    </xf>
    <xf numFmtId="0" fontId="33" fillId="0" borderId="0" applyProtection="0">
      <alignment horizontal="left"/>
    </xf>
    <xf numFmtId="10" fontId="29" fillId="4" borderId="11" applyNumberFormat="0" applyBorder="0" applyAlignment="0" applyProtection="0"/>
    <xf numFmtId="0" fontId="34" fillId="0" borderId="0" applyNumberFormat="0" applyFill="0" applyBorder="0" applyProtection="0">
      <alignment horizontal="left" vertical="center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11" fillId="0" borderId="0">
      <alignment horizontal="right"/>
    </xf>
    <xf numFmtId="194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2" borderId="5">
      <alignment horizontal="right"/>
    </xf>
    <xf numFmtId="14" fontId="12" fillId="0" borderId="0" applyFont="0" applyFill="0" applyBorder="0" applyAlignment="0" applyProtection="0"/>
    <xf numFmtId="0" fontId="35" fillId="0" borderId="1"/>
    <xf numFmtId="180" fontId="23" fillId="0" borderId="0" applyFont="0" applyFill="0" applyBorder="0" applyProtection="0">
      <alignment horizontal="right"/>
    </xf>
    <xf numFmtId="37" fontId="36" fillId="0" borderId="0"/>
    <xf numFmtId="201" fontId="3" fillId="0" borderId="0"/>
    <xf numFmtId="40" fontId="8" fillId="5" borderId="0">
      <alignment horizontal="right"/>
    </xf>
    <xf numFmtId="0" fontId="37" fillId="5" borderId="0">
      <alignment horizontal="center" vertical="center"/>
    </xf>
    <xf numFmtId="0" fontId="38" fillId="5" borderId="5"/>
    <xf numFmtId="0" fontId="37" fillId="5" borderId="0" applyBorder="0">
      <alignment horizontal="centerContinuous"/>
    </xf>
    <xf numFmtId="0" fontId="39" fillId="5" borderId="0" applyBorder="0">
      <alignment horizontal="centerContinuous"/>
    </xf>
    <xf numFmtId="0" fontId="40" fillId="0" borderId="0" applyFill="0" applyBorder="0" applyProtection="0">
      <alignment horizontal="left"/>
    </xf>
    <xf numFmtId="0" fontId="41" fillId="0" borderId="0" applyFill="0" applyBorder="0" applyProtection="0">
      <alignment horizontal="left"/>
    </xf>
    <xf numFmtId="1" fontId="42" fillId="0" borderId="0" applyProtection="0">
      <alignment horizontal="right" vertical="center"/>
    </xf>
    <xf numFmtId="0" fontId="43" fillId="0" borderId="0" applyNumberFormat="0" applyFill="0" applyBorder="0" applyAlignment="0" applyProtection="0"/>
    <xf numFmtId="187" fontId="11" fillId="3" borderId="0"/>
    <xf numFmtId="192" fontId="11" fillId="0" borderId="0"/>
    <xf numFmtId="9" fontId="3" fillId="0" borderId="0" applyFont="0" applyFill="0" applyBorder="0" applyAlignment="0" applyProtection="0"/>
    <xf numFmtId="210" fontId="17" fillId="0" borderId="0" applyFont="0" applyFill="0" applyBorder="0" applyAlignment="0" applyProtection="0"/>
    <xf numFmtId="205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9" fontId="25" fillId="0" borderId="0" applyFont="0" applyFill="0" applyBorder="0" applyProtection="0">
      <alignment horizontal="right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188" fontId="11" fillId="2" borderId="12">
      <alignment horizontal="right"/>
    </xf>
    <xf numFmtId="189" fontId="11" fillId="2" borderId="0"/>
    <xf numFmtId="0" fontId="44" fillId="0" borderId="0">
      <alignment horizontal="center"/>
    </xf>
    <xf numFmtId="0" fontId="11" fillId="0" borderId="3">
      <alignment horizontal="centerContinuous"/>
    </xf>
    <xf numFmtId="190" fontId="11" fillId="2" borderId="0">
      <alignment horizontal="right"/>
    </xf>
    <xf numFmtId="191" fontId="11" fillId="2" borderId="5">
      <alignment horizontal="right"/>
    </xf>
    <xf numFmtId="0" fontId="34" fillId="0" borderId="0" applyNumberFormat="0" applyFill="0" applyBorder="0" applyProtection="0">
      <alignment horizontal="right" vertical="center"/>
    </xf>
    <xf numFmtId="0" fontId="45" fillId="6" borderId="0" applyNumberFormat="0" applyFont="0" applyBorder="0" applyAlignment="0" applyProtection="0"/>
    <xf numFmtId="42" fontId="19" fillId="0" borderId="0" applyFill="0" applyBorder="0" applyAlignment="0" applyProtection="0"/>
    <xf numFmtId="0" fontId="54" fillId="0" borderId="0"/>
    <xf numFmtId="0" fontId="46" fillId="0" borderId="0" applyNumberFormat="0" applyFill="0" applyBorder="0" applyProtection="0">
      <alignment horizontal="left" vertical="center"/>
    </xf>
    <xf numFmtId="0" fontId="18" fillId="0" borderId="0" applyFill="0" applyBorder="0" applyProtection="0">
      <alignment horizontal="center" vertical="center"/>
    </xf>
    <xf numFmtId="0" fontId="47" fillId="0" borderId="0" applyBorder="0" applyProtection="0">
      <alignment vertical="center"/>
    </xf>
    <xf numFmtId="178" fontId="47" fillId="0" borderId="3" applyBorder="0" applyProtection="0">
      <alignment horizontal="right" vertical="center"/>
    </xf>
    <xf numFmtId="0" fontId="48" fillId="7" borderId="0" applyBorder="0" applyProtection="0">
      <alignment horizontal="centerContinuous" vertical="center"/>
    </xf>
    <xf numFmtId="0" fontId="48" fillId="8" borderId="3" applyBorder="0" applyProtection="0">
      <alignment horizontal="centerContinuous" vertical="center"/>
    </xf>
    <xf numFmtId="0" fontId="18" fillId="0" borderId="0" applyFill="0" applyBorder="0" applyProtection="0"/>
    <xf numFmtId="0" fontId="4" fillId="0" borderId="0" applyFill="0" applyBorder="0" applyProtection="0">
      <alignment horizontal="left"/>
    </xf>
    <xf numFmtId="0" fontId="49" fillId="0" borderId="0" applyFill="0" applyBorder="0" applyProtection="0">
      <alignment horizontal="left" vertical="top"/>
    </xf>
    <xf numFmtId="0" fontId="50" fillId="0" borderId="0">
      <alignment horizontal="centerContinuous"/>
    </xf>
    <xf numFmtId="176" fontId="51" fillId="0" borderId="0" applyNumberFormat="0" applyFill="0" applyBorder="0">
      <alignment horizontal="left"/>
    </xf>
    <xf numFmtId="176" fontId="52" fillId="0" borderId="0" applyNumberFormat="0" applyFill="0" applyBorder="0">
      <alignment horizontal="right"/>
    </xf>
    <xf numFmtId="49" fontId="53" fillId="0" borderId="0"/>
    <xf numFmtId="49" fontId="26" fillId="0" borderId="0" applyFill="0" applyBorder="0" applyAlignment="0"/>
    <xf numFmtId="212" fontId="17" fillId="0" borderId="0" applyFill="0" applyBorder="0" applyAlignment="0"/>
    <xf numFmtId="213" fontId="17" fillId="0" borderId="0" applyFill="0" applyBorder="0" applyAlignment="0"/>
    <xf numFmtId="0" fontId="12" fillId="0" borderId="0" applyNumberFormat="0" applyFont="0" applyFill="0" applyBorder="0" applyProtection="0">
      <alignment horizontal="left" vertical="top" wrapText="1"/>
    </xf>
    <xf numFmtId="0" fontId="4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55" fillId="0" borderId="0"/>
    <xf numFmtId="0" fontId="56" fillId="0" borderId="0">
      <alignment horizontal="fill"/>
    </xf>
    <xf numFmtId="178" fontId="17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18" borderId="0" applyNumberFormat="0" applyBorder="0" applyAlignment="0" applyProtection="0"/>
    <xf numFmtId="0" fontId="69" fillId="19" borderId="0" applyNumberFormat="0" applyBorder="0" applyAlignment="0" applyProtection="0"/>
    <xf numFmtId="0" fontId="70" fillId="20" borderId="0" applyNumberFormat="0" applyBorder="0" applyAlignment="0" applyProtection="0"/>
    <xf numFmtId="0" fontId="71" fillId="21" borderId="20" applyNumberFormat="0" applyAlignment="0" applyProtection="0"/>
    <xf numFmtId="0" fontId="72" fillId="22" borderId="21" applyNumberFormat="0" applyAlignment="0" applyProtection="0"/>
    <xf numFmtId="0" fontId="73" fillId="22" borderId="20" applyNumberFormat="0" applyAlignment="0" applyProtection="0"/>
    <xf numFmtId="0" fontId="74" fillId="0" borderId="22" applyNumberFormat="0" applyFill="0" applyAlignment="0" applyProtection="0"/>
    <xf numFmtId="0" fontId="75" fillId="23" borderId="23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79" fillId="40" borderId="0" applyNumberFormat="0" applyBorder="0" applyAlignment="0" applyProtection="0"/>
    <xf numFmtId="0" fontId="79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79" fillId="44" borderId="0" applyNumberFormat="0" applyBorder="0" applyAlignment="0" applyProtection="0"/>
    <xf numFmtId="0" fontId="79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79" fillId="48" borderId="0" applyNumberFormat="0" applyBorder="0" applyAlignment="0" applyProtection="0"/>
    <xf numFmtId="0" fontId="3" fillId="0" borderId="0"/>
    <xf numFmtId="0" fontId="3" fillId="0" borderId="0"/>
    <xf numFmtId="38" fontId="8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95" fillId="0" borderId="0" applyBorder="0">
      <alignment horizontal="centerContinuous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5" fontId="81" fillId="0" borderId="0">
      <protection locked="0"/>
    </xf>
    <xf numFmtId="215" fontId="81" fillId="0" borderId="0">
      <protection locked="0"/>
    </xf>
    <xf numFmtId="177" fontId="17" fillId="0" borderId="0" applyFont="0" applyFill="0" applyBorder="0" applyProtection="0">
      <alignment horizontal="right"/>
    </xf>
    <xf numFmtId="215" fontId="81" fillId="0" borderId="29">
      <protection locked="0"/>
    </xf>
    <xf numFmtId="177" fontId="17" fillId="0" borderId="0" applyFont="0" applyFill="0" applyBorder="0" applyProtection="0">
      <alignment horizontal="right"/>
    </xf>
    <xf numFmtId="0" fontId="3" fillId="0" borderId="0"/>
    <xf numFmtId="0" fontId="3" fillId="0" borderId="0" applyFont="0" applyFill="0" applyBorder="0" applyAlignment="0" applyProtection="0"/>
    <xf numFmtId="215" fontId="81" fillId="0" borderId="0">
      <protection locked="0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38" fontId="5" fillId="2" borderId="0" applyNumberFormat="0" applyBorder="0" applyAlignment="0" applyProtection="0"/>
    <xf numFmtId="0" fontId="82" fillId="0" borderId="0">
      <alignment horizontal="left"/>
    </xf>
    <xf numFmtId="38" fontId="57" fillId="0" borderId="0" applyNumberForma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0" fontId="5" fillId="4" borderId="11" applyNumberFormat="0" applyBorder="0" applyAlignment="0" applyProtection="0"/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216" fontId="45" fillId="0" borderId="0" applyFont="0" applyFill="0" applyBorder="0" applyAlignment="0" applyProtection="0"/>
    <xf numFmtId="4" fontId="12" fillId="0" borderId="0" applyFont="0" applyFill="0" applyBorder="0" applyAlignment="0" applyProtection="0"/>
    <xf numFmtId="217" fontId="5" fillId="0" borderId="0" applyFont="0" applyFill="0" applyBorder="0" applyAlignment="0" applyProtection="0"/>
    <xf numFmtId="202" fontId="11" fillId="2" borderId="5">
      <alignment horizontal="right"/>
    </xf>
    <xf numFmtId="202" fontId="11" fillId="2" borderId="5">
      <alignment horizontal="right"/>
    </xf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6" fillId="5" borderId="0">
      <alignment horizontal="right"/>
    </xf>
    <xf numFmtId="0" fontId="85" fillId="0" borderId="0" applyNumberFormat="0" applyFill="0" applyBorder="0" applyAlignment="0" applyProtection="0"/>
    <xf numFmtId="20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38" fontId="5" fillId="49" borderId="0" applyNumberFormat="0" applyFont="0" applyBorder="0" applyAlignment="0" applyProtection="0"/>
    <xf numFmtId="0" fontId="41" fillId="50" borderId="0" applyNumberFormat="0" applyFont="0" applyBorder="0" applyAlignment="0">
      <alignment horizontal="center"/>
    </xf>
    <xf numFmtId="218" fontId="57" fillId="11" borderId="0" applyNumberFormat="0" applyFont="0" applyBorder="0" applyAlignment="0"/>
    <xf numFmtId="38" fontId="5" fillId="11" borderId="26" applyNumberFormat="0" applyFont="0" applyBorder="0" applyAlignment="0" applyProtection="0"/>
    <xf numFmtId="38" fontId="5" fillId="10" borderId="26" applyNumberFormat="0" applyFont="0" applyBorder="0" applyAlignment="0" applyProtection="0"/>
    <xf numFmtId="218" fontId="5" fillId="51" borderId="11" applyNumberFormat="0" applyFont="0" applyFill="0" applyAlignment="0" applyProtection="0"/>
    <xf numFmtId="15" fontId="3" fillId="0" borderId="0"/>
    <xf numFmtId="15" fontId="3" fillId="0" borderId="0"/>
    <xf numFmtId="0" fontId="35" fillId="0" borderId="0"/>
    <xf numFmtId="38" fontId="57" fillId="0" borderId="0" applyNumberFormat="0" applyFill="0" applyBorder="0" applyAlignment="0" applyProtection="0"/>
    <xf numFmtId="0" fontId="86" fillId="9" borderId="0" applyNumberFormat="0" applyBorder="0" applyProtection="0">
      <alignment horizontal="left" vertical="center"/>
    </xf>
    <xf numFmtId="0" fontId="86" fillId="1" borderId="0" applyNumberFormat="0" applyBorder="0" applyProtection="0">
      <alignment horizontal="left" vertical="center"/>
    </xf>
    <xf numFmtId="38" fontId="87" fillId="0" borderId="0" applyNumberFormat="0" applyFill="0" applyBorder="0" applyAlignment="0" applyProtection="0"/>
    <xf numFmtId="38" fontId="88" fillId="0" borderId="0" applyFont="0" applyFill="0" applyBorder="0" applyAlignment="0" applyProtection="0"/>
    <xf numFmtId="0" fontId="88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9" fillId="0" borderId="0" applyNumberFormat="0" applyFont="0" applyFill="0" applyBorder="0" applyAlignment="0" applyProtection="0"/>
    <xf numFmtId="185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5" fillId="0" borderId="0"/>
    <xf numFmtId="0" fontId="89" fillId="0" borderId="0"/>
    <xf numFmtId="9" fontId="89" fillId="0" borderId="0" applyFont="0" applyFill="0" applyBorder="0" applyAlignment="0" applyProtection="0"/>
    <xf numFmtId="0" fontId="3" fillId="0" borderId="0"/>
    <xf numFmtId="0" fontId="90" fillId="0" borderId="27" applyNumberFormat="0" applyFill="0" applyAlignment="0" applyProtection="0"/>
    <xf numFmtId="0" fontId="67" fillId="0" borderId="28" applyNumberFormat="0" applyFill="0" applyAlignment="0" applyProtection="0"/>
    <xf numFmtId="0" fontId="96" fillId="0" borderId="0" applyBorder="0">
      <alignment horizontal="centerContinuous"/>
    </xf>
    <xf numFmtId="0" fontId="94" fillId="5" borderId="0">
      <alignment horizontal="right"/>
    </xf>
    <xf numFmtId="0" fontId="2" fillId="0" borderId="0"/>
    <xf numFmtId="0" fontId="2" fillId="24" borderId="24" applyNumberFormat="0" applyFon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215" fontId="93" fillId="0" borderId="0">
      <protection locked="0"/>
    </xf>
    <xf numFmtId="215" fontId="93" fillId="0" borderId="0">
      <protection locked="0"/>
    </xf>
    <xf numFmtId="215" fontId="81" fillId="0" borderId="0">
      <protection locked="0"/>
    </xf>
    <xf numFmtId="43" fontId="84" fillId="0" borderId="0" applyFont="0" applyFill="0" applyBorder="0" applyAlignment="0" applyProtection="0"/>
    <xf numFmtId="0" fontId="3" fillId="0" borderId="0"/>
    <xf numFmtId="219" fontId="3" fillId="0" borderId="0" applyFont="0" applyFill="0" applyBorder="0" applyAlignment="0" applyProtection="0"/>
    <xf numFmtId="0" fontId="95" fillId="5" borderId="5"/>
    <xf numFmtId="0" fontId="86" fillId="0" borderId="0" applyNumberFormat="0" applyFill="0" applyBorder="0" applyProtection="0">
      <alignment horizontal="left" vertical="center"/>
    </xf>
    <xf numFmtId="0" fontId="86" fillId="0" borderId="0" applyNumberFormat="0" applyFill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8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6" fillId="0" borderId="0" applyNumberFormat="0" applyFill="0" applyBorder="0" applyProtection="0">
      <alignment horizontal="left" vertical="center"/>
    </xf>
    <xf numFmtId="0" fontId="1" fillId="0" borderId="0"/>
    <xf numFmtId="0" fontId="1" fillId="24" borderId="24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3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 vertical="center"/>
    </xf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 applyNumberFormat="0" applyFill="0" applyBorder="0" applyAlignment="0" applyProtection="0"/>
    <xf numFmtId="0" fontId="86" fillId="9" borderId="0" applyNumberFormat="0" applyBorder="0" applyProtection="0">
      <alignment horizontal="left" vertical="center"/>
    </xf>
    <xf numFmtId="0" fontId="86" fillId="1" borderId="0" applyNumberFormat="0" applyBorder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4" borderId="24" applyNumberFormat="0" applyFont="0" applyAlignment="0" applyProtection="0"/>
    <xf numFmtId="0" fontId="86" fillId="0" borderId="0" applyNumberFormat="0" applyFill="0" applyBorder="0" applyProtection="0">
      <alignment horizontal="left" vertical="center"/>
    </xf>
    <xf numFmtId="0" fontId="86" fillId="0" borderId="0" applyNumberFormat="0" applyFill="0" applyBorder="0" applyProtection="0">
      <alignment horizontal="left" vertical="center"/>
    </xf>
  </cellStyleXfs>
  <cellXfs count="195">
    <xf numFmtId="0" fontId="0" fillId="0" borderId="0" xfId="0"/>
    <xf numFmtId="0" fontId="4" fillId="0" borderId="0" xfId="0" applyFont="1"/>
    <xf numFmtId="0" fontId="4" fillId="10" borderId="13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14" xfId="0" applyFont="1" applyFill="1" applyBorder="1" applyAlignment="1">
      <alignment horizontal="center"/>
    </xf>
    <xf numFmtId="164" fontId="4" fillId="0" borderId="0" xfId="0" quotePrefix="1" applyNumberFormat="1" applyFont="1"/>
    <xf numFmtId="44" fontId="0" fillId="0" borderId="0" xfId="48" applyFont="1"/>
    <xf numFmtId="0" fontId="4" fillId="11" borderId="15" xfId="0" applyFont="1" applyFill="1" applyBorder="1" applyAlignment="1">
      <alignment horizontal="center"/>
    </xf>
    <xf numFmtId="0" fontId="4" fillId="10" borderId="16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166" fontId="0" fillId="0" borderId="0" xfId="0" applyNumberFormat="1"/>
    <xf numFmtId="167" fontId="0" fillId="0" borderId="0" xfId="48" applyNumberFormat="1" applyFont="1"/>
    <xf numFmtId="167" fontId="0" fillId="0" borderId="0" xfId="0" applyNumberFormat="1"/>
    <xf numFmtId="0" fontId="0" fillId="0" borderId="0" xfId="0" applyFill="1"/>
    <xf numFmtId="44" fontId="0" fillId="0" borderId="0" xfId="48" applyFont="1" applyFill="1"/>
    <xf numFmtId="167" fontId="0" fillId="0" borderId="0" xfId="48" applyNumberFormat="1" applyFont="1" applyFill="1"/>
    <xf numFmtId="166" fontId="0" fillId="0" borderId="0" xfId="35" applyNumberFormat="1" applyFont="1" applyFill="1"/>
    <xf numFmtId="167" fontId="0" fillId="0" borderId="0" xfId="0" applyNumberFormat="1" applyFill="1"/>
    <xf numFmtId="0" fontId="9" fillId="0" borderId="0" xfId="0" applyFont="1"/>
    <xf numFmtId="9" fontId="9" fillId="0" borderId="0" xfId="163" applyFont="1"/>
    <xf numFmtId="0" fontId="4" fillId="12" borderId="1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166" fontId="0" fillId="0" borderId="0" xfId="35" applyNumberFormat="1" applyFont="1"/>
    <xf numFmtId="0" fontId="0" fillId="0" borderId="0" xfId="0" applyFill="1" applyBorder="1"/>
    <xf numFmtId="167" fontId="0" fillId="0" borderId="3" xfId="48" applyNumberFormat="1" applyFont="1" applyBorder="1"/>
    <xf numFmtId="167" fontId="0" fillId="0" borderId="3" xfId="48" applyNumberFormat="1" applyFont="1" applyFill="1" applyBorder="1"/>
    <xf numFmtId="9" fontId="9" fillId="0" borderId="0" xfId="163" applyFont="1" applyFill="1"/>
    <xf numFmtId="44" fontId="0" fillId="0" borderId="3" xfId="48" applyFont="1" applyFill="1" applyBorder="1"/>
    <xf numFmtId="44" fontId="0" fillId="0" borderId="0" xfId="48" applyNumberFormat="1" applyFont="1" applyFill="1"/>
    <xf numFmtId="9" fontId="0" fillId="0" borderId="0" xfId="163" applyFont="1"/>
    <xf numFmtId="0" fontId="0" fillId="0" borderId="0" xfId="0" applyBorder="1"/>
    <xf numFmtId="167" fontId="0" fillId="0" borderId="0" xfId="48" applyNumberFormat="1" applyFont="1" applyFill="1" applyBorder="1"/>
    <xf numFmtId="167" fontId="0" fillId="0" borderId="0" xfId="0" applyNumberFormat="1" applyFill="1" applyBorder="1"/>
    <xf numFmtId="0" fontId="4" fillId="0" borderId="0" xfId="0" applyFont="1" applyFill="1" applyBorder="1" applyAlignment="1">
      <alignment horizontal="center"/>
    </xf>
    <xf numFmtId="0" fontId="4" fillId="13" borderId="16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166" fontId="0" fillId="0" borderId="0" xfId="0" applyNumberFormat="1" applyFill="1"/>
    <xf numFmtId="0" fontId="4" fillId="13" borderId="13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9" fontId="9" fillId="0" borderId="0" xfId="163" applyNumberFormat="1" applyFont="1" applyFill="1"/>
    <xf numFmtId="0" fontId="0" fillId="0" borderId="0" xfId="0" applyAlignment="1">
      <alignment horizontal="center"/>
    </xf>
    <xf numFmtId="167" fontId="9" fillId="0" borderId="0" xfId="48" applyNumberFormat="1" applyFont="1"/>
    <xf numFmtId="9" fontId="0" fillId="0" borderId="0" xfId="163" applyFont="1" applyFill="1"/>
    <xf numFmtId="167" fontId="0" fillId="0" borderId="3" xfId="0" applyNumberFormat="1" applyFill="1" applyBorder="1"/>
    <xf numFmtId="0" fontId="0" fillId="0" borderId="3" xfId="0" applyBorder="1"/>
    <xf numFmtId="167" fontId="10" fillId="0" borderId="0" xfId="0" applyNumberFormat="1" applyFont="1"/>
    <xf numFmtId="167" fontId="10" fillId="0" borderId="0" xfId="48" applyNumberFormat="1" applyFont="1" applyFill="1"/>
    <xf numFmtId="168" fontId="0" fillId="0" borderId="0" xfId="163" applyNumberFormat="1" applyFont="1" applyFill="1"/>
    <xf numFmtId="0" fontId="4" fillId="0" borderId="0" xfId="0" applyFont="1" applyAlignment="1">
      <alignment horizontal="center"/>
    </xf>
    <xf numFmtId="166" fontId="3" fillId="0" borderId="0" xfId="35" applyNumberFormat="1" applyFont="1"/>
    <xf numFmtId="165" fontId="0" fillId="0" borderId="0" xfId="35" applyNumberFormat="1" applyFont="1"/>
    <xf numFmtId="167" fontId="10" fillId="0" borderId="0" xfId="0" applyNumberFormat="1" applyFont="1" applyFill="1"/>
    <xf numFmtId="9" fontId="0" fillId="0" borderId="0" xfId="163" applyNumberFormat="1" applyFont="1"/>
    <xf numFmtId="214" fontId="0" fillId="0" borderId="0" xfId="0" applyNumberFormat="1"/>
    <xf numFmtId="9" fontId="0" fillId="0" borderId="0" xfId="163" applyNumberFormat="1" applyFont="1" applyFill="1"/>
    <xf numFmtId="0" fontId="4" fillId="10" borderId="12" xfId="0" applyFont="1" applyFill="1" applyBorder="1" applyAlignment="1">
      <alignment horizontal="center"/>
    </xf>
    <xf numFmtId="0" fontId="0" fillId="2" borderId="0" xfId="0" applyFill="1"/>
    <xf numFmtId="167" fontId="0" fillId="0" borderId="3" xfId="0" applyNumberFormat="1" applyBorder="1"/>
    <xf numFmtId="167" fontId="3" fillId="0" borderId="0" xfId="0" applyNumberFormat="1" applyFont="1" applyFill="1" applyBorder="1"/>
    <xf numFmtId="167" fontId="3" fillId="0" borderId="3" xfId="0" applyNumberFormat="1" applyFont="1" applyFill="1" applyBorder="1"/>
    <xf numFmtId="9" fontId="0" fillId="0" borderId="0" xfId="163" applyFont="1" applyFill="1" applyBorder="1"/>
    <xf numFmtId="166" fontId="4" fillId="11" borderId="13" xfId="35" applyNumberFormat="1" applyFont="1" applyFill="1" applyBorder="1" applyAlignment="1">
      <alignment horizontal="center"/>
    </xf>
    <xf numFmtId="166" fontId="4" fillId="11" borderId="14" xfId="35" applyNumberFormat="1" applyFont="1" applyFill="1" applyBorder="1" applyAlignment="1">
      <alignment horizontal="center"/>
    </xf>
    <xf numFmtId="49" fontId="4" fillId="11" borderId="12" xfId="35" applyNumberFormat="1" applyFont="1" applyFill="1" applyBorder="1" applyAlignment="1">
      <alignment horizontal="center"/>
    </xf>
    <xf numFmtId="167" fontId="10" fillId="0" borderId="3" xfId="48" applyNumberFormat="1" applyFont="1" applyFill="1" applyBorder="1"/>
    <xf numFmtId="44" fontId="10" fillId="0" borderId="0" xfId="48" applyFont="1" applyFill="1"/>
    <xf numFmtId="0" fontId="10" fillId="0" borderId="0" xfId="0" applyFont="1" applyFill="1"/>
    <xf numFmtId="167" fontId="3" fillId="0" borderId="0" xfId="0" applyNumberFormat="1" applyFont="1" applyFill="1"/>
    <xf numFmtId="166" fontId="4" fillId="11" borderId="3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 applyAlignment="1">
      <alignment horizontal="center"/>
    </xf>
    <xf numFmtId="49" fontId="4" fillId="0" borderId="6" xfId="35" applyNumberFormat="1" applyFont="1" applyFill="1" applyBorder="1" applyAlignment="1"/>
    <xf numFmtId="166" fontId="4" fillId="0" borderId="3" xfId="35" applyNumberFormat="1" applyFont="1" applyFill="1" applyBorder="1" applyAlignment="1">
      <alignment horizontal="center"/>
    </xf>
    <xf numFmtId="167" fontId="58" fillId="0" borderId="0" xfId="48" applyNumberFormat="1" applyFont="1"/>
    <xf numFmtId="166" fontId="58" fillId="0" borderId="0" xfId="35" applyNumberFormat="1" applyFont="1" applyFill="1" applyBorder="1" applyAlignment="1">
      <alignment horizontal="center"/>
    </xf>
    <xf numFmtId="167" fontId="58" fillId="0" borderId="0" xfId="0" applyNumberFormat="1" applyFont="1" applyFill="1" applyBorder="1"/>
    <xf numFmtId="167" fontId="58" fillId="0" borderId="3" xfId="48" applyNumberFormat="1" applyFont="1" applyBorder="1"/>
    <xf numFmtId="167" fontId="58" fillId="0" borderId="0" xfId="48" applyNumberFormat="1" applyFont="1" applyFill="1"/>
    <xf numFmtId="9" fontId="59" fillId="0" borderId="0" xfId="163" applyFont="1" applyFill="1"/>
    <xf numFmtId="167" fontId="58" fillId="0" borderId="3" xfId="48" applyNumberFormat="1" applyFont="1" applyFill="1" applyBorder="1"/>
    <xf numFmtId="0" fontId="58" fillId="0" borderId="0" xfId="0" applyFont="1" applyFill="1"/>
    <xf numFmtId="44" fontId="58" fillId="0" borderId="0" xfId="48" applyFont="1" applyFill="1"/>
    <xf numFmtId="166" fontId="58" fillId="0" borderId="0" xfId="35" applyNumberFormat="1" applyFont="1" applyFill="1"/>
    <xf numFmtId="167" fontId="58" fillId="0" borderId="0" xfId="0" applyNumberFormat="1" applyFont="1" applyFill="1"/>
    <xf numFmtId="167" fontId="58" fillId="0" borderId="3" xfId="0" applyNumberFormat="1" applyFont="1" applyFill="1" applyBorder="1"/>
    <xf numFmtId="0" fontId="58" fillId="0" borderId="0" xfId="0" applyFont="1"/>
    <xf numFmtId="44" fontId="58" fillId="0" borderId="0" xfId="48" applyNumberFormat="1" applyFont="1" applyFill="1"/>
    <xf numFmtId="166" fontId="58" fillId="0" borderId="0" xfId="0" applyNumberFormat="1" applyFont="1"/>
    <xf numFmtId="166" fontId="58" fillId="0" borderId="0" xfId="35" applyNumberFormat="1" applyFont="1"/>
    <xf numFmtId="9" fontId="58" fillId="0" borderId="0" xfId="163" applyFont="1" applyFill="1" applyBorder="1"/>
    <xf numFmtId="167" fontId="58" fillId="0" borderId="0" xfId="0" applyNumberFormat="1" applyFont="1"/>
    <xf numFmtId="168" fontId="58" fillId="0" borderId="0" xfId="163" applyNumberFormat="1" applyFont="1" applyFill="1"/>
    <xf numFmtId="9" fontId="58" fillId="0" borderId="0" xfId="163" applyNumberFormat="1" applyFont="1" applyFill="1"/>
    <xf numFmtId="166" fontId="3" fillId="0" borderId="0" xfId="0" applyNumberFormat="1" applyFont="1"/>
    <xf numFmtId="0" fontId="3" fillId="0" borderId="0" xfId="0" applyFont="1"/>
    <xf numFmtId="166" fontId="3" fillId="0" borderId="0" xfId="35" applyNumberFormat="1" applyFont="1" applyFill="1" applyBorder="1" applyAlignment="1">
      <alignment horizontal="center"/>
    </xf>
    <xf numFmtId="9" fontId="61" fillId="0" borderId="0" xfId="163" applyFont="1" applyFill="1" applyBorder="1"/>
    <xf numFmtId="167" fontId="61" fillId="0" borderId="0" xfId="0" applyNumberFormat="1" applyFont="1" applyFill="1" applyBorder="1"/>
    <xf numFmtId="167" fontId="61" fillId="0" borderId="0" xfId="0" applyNumberFormat="1" applyFont="1" applyFill="1"/>
    <xf numFmtId="167" fontId="62" fillId="0" borderId="0" xfId="48" applyNumberFormat="1" applyFont="1" applyFill="1"/>
    <xf numFmtId="167" fontId="62" fillId="0" borderId="0" xfId="0" applyNumberFormat="1" applyFont="1" applyFill="1"/>
    <xf numFmtId="167" fontId="62" fillId="0" borderId="3" xfId="48" applyNumberFormat="1" applyFont="1" applyFill="1" applyBorder="1"/>
    <xf numFmtId="167" fontId="62" fillId="0" borderId="0" xfId="0" applyNumberFormat="1" applyFont="1"/>
    <xf numFmtId="44" fontId="62" fillId="0" borderId="0" xfId="48" applyFont="1" applyFill="1"/>
    <xf numFmtId="0" fontId="62" fillId="0" borderId="0" xfId="0" applyFont="1" applyFill="1"/>
    <xf numFmtId="166" fontId="62" fillId="0" borderId="0" xfId="35" applyNumberFormat="1" applyFont="1" applyFill="1"/>
    <xf numFmtId="9" fontId="62" fillId="0" borderId="0" xfId="163" applyNumberFormat="1" applyFont="1" applyFill="1"/>
    <xf numFmtId="0" fontId="62" fillId="0" borderId="0" xfId="0" applyFont="1"/>
    <xf numFmtId="49" fontId="60" fillId="14" borderId="16" xfId="35" applyNumberFormat="1" applyFont="1" applyFill="1" applyBorder="1" applyAlignment="1">
      <alignment horizontal="center"/>
    </xf>
    <xf numFmtId="166" fontId="60" fillId="14" borderId="15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/>
    <xf numFmtId="44" fontId="0" fillId="0" borderId="3" xfId="48" applyFont="1" applyBorder="1"/>
    <xf numFmtId="0" fontId="0" fillId="0" borderId="3" xfId="0" applyFill="1" applyBorder="1"/>
    <xf numFmtId="0" fontId="62" fillId="0" borderId="3" xfId="0" applyFont="1" applyBorder="1"/>
    <xf numFmtId="0" fontId="58" fillId="0" borderId="3" xfId="0" applyFont="1" applyBorder="1"/>
    <xf numFmtId="0" fontId="0" fillId="11" borderId="0" xfId="0" applyFill="1"/>
    <xf numFmtId="44" fontId="58" fillId="0" borderId="0" xfId="0" applyNumberFormat="1" applyFont="1" applyFill="1"/>
    <xf numFmtId="43" fontId="0" fillId="0" borderId="0" xfId="0" applyNumberFormat="1"/>
    <xf numFmtId="167" fontId="61" fillId="0" borderId="3" xfId="0" applyNumberFormat="1" applyFont="1" applyFill="1" applyBorder="1"/>
    <xf numFmtId="9" fontId="58" fillId="0" borderId="0" xfId="163" applyFont="1"/>
    <xf numFmtId="9" fontId="59" fillId="0" borderId="0" xfId="163" applyNumberFormat="1" applyFont="1" applyFill="1"/>
    <xf numFmtId="0" fontId="63" fillId="15" borderId="4" xfId="0" applyFont="1" applyFill="1" applyBorder="1"/>
    <xf numFmtId="0" fontId="63" fillId="0" borderId="0" xfId="0" applyFont="1" applyFill="1" applyBorder="1"/>
    <xf numFmtId="0" fontId="4" fillId="12" borderId="4" xfId="0" applyFont="1" applyFill="1" applyBorder="1"/>
    <xf numFmtId="0" fontId="63" fillId="12" borderId="0" xfId="0" applyFont="1" applyFill="1" applyBorder="1"/>
    <xf numFmtId="0" fontId="4" fillId="12" borderId="13" xfId="0" applyFont="1" applyFill="1" applyBorder="1"/>
    <xf numFmtId="0" fontId="0" fillId="12" borderId="3" xfId="0" applyFill="1" applyBorder="1"/>
    <xf numFmtId="166" fontId="60" fillId="16" borderId="13" xfId="35" applyNumberFormat="1" applyFont="1" applyFill="1" applyBorder="1" applyAlignment="1">
      <alignment horizontal="center"/>
    </xf>
    <xf numFmtId="166" fontId="60" fillId="16" borderId="14" xfId="35" applyNumberFormat="1" applyFont="1" applyFill="1" applyBorder="1" applyAlignment="1">
      <alignment horizontal="center"/>
    </xf>
    <xf numFmtId="0" fontId="0" fillId="12" borderId="4" xfId="0" applyFill="1" applyBorder="1"/>
    <xf numFmtId="0" fontId="0" fillId="13" borderId="4" xfId="0" applyFill="1" applyBorder="1"/>
    <xf numFmtId="0" fontId="0" fillId="0" borderId="4" xfId="0" applyFill="1" applyBorder="1"/>
    <xf numFmtId="0" fontId="0" fillId="0" borderId="4" xfId="0" applyBorder="1"/>
    <xf numFmtId="166" fontId="64" fillId="0" borderId="0" xfId="35" applyNumberFormat="1" applyFont="1" applyFill="1" applyBorder="1" applyAlignment="1">
      <alignment horizontal="center"/>
    </xf>
    <xf numFmtId="0" fontId="0" fillId="13" borderId="0" xfId="0" applyFill="1" applyBorder="1"/>
    <xf numFmtId="0" fontId="0" fillId="17" borderId="4" xfId="0" applyFill="1" applyBorder="1"/>
    <xf numFmtId="0" fontId="0" fillId="17" borderId="0" xfId="0" applyFill="1" applyBorder="1"/>
    <xf numFmtId="167" fontId="0" fillId="17" borderId="17" xfId="0" applyNumberFormat="1" applyFill="1" applyBorder="1"/>
    <xf numFmtId="0" fontId="3" fillId="17" borderId="17" xfId="0" applyFont="1" applyFill="1" applyBorder="1"/>
    <xf numFmtId="9" fontId="63" fillId="17" borderId="17" xfId="163" applyFont="1" applyFill="1" applyBorder="1"/>
    <xf numFmtId="0" fontId="3" fillId="12" borderId="0" xfId="0" applyFont="1" applyFill="1" applyBorder="1"/>
    <xf numFmtId="0" fontId="0" fillId="52" borderId="0" xfId="0" applyFill="1" applyBorder="1"/>
    <xf numFmtId="166" fontId="60" fillId="16" borderId="3" xfId="35" applyNumberFormat="1" applyFont="1" applyFill="1" applyBorder="1" applyAlignment="1">
      <alignment horizontal="center"/>
    </xf>
    <xf numFmtId="167" fontId="0" fillId="0" borderId="17" xfId="0" applyNumberFormat="1" applyFill="1" applyBorder="1"/>
    <xf numFmtId="167" fontId="0" fillId="13" borderId="17" xfId="0" applyNumberFormat="1" applyFill="1" applyBorder="1"/>
    <xf numFmtId="167" fontId="0" fillId="13" borderId="16" xfId="0" applyNumberFormat="1" applyFill="1" applyBorder="1"/>
    <xf numFmtId="0" fontId="0" fillId="52" borderId="0" xfId="0" applyFill="1"/>
    <xf numFmtId="0" fontId="60" fillId="16" borderId="16" xfId="35" applyNumberFormat="1" applyFont="1" applyFill="1" applyBorder="1" applyAlignment="1">
      <alignment horizontal="center"/>
    </xf>
    <xf numFmtId="166" fontId="60" fillId="16" borderId="15" xfId="35" applyNumberFormat="1" applyFont="1" applyFill="1" applyBorder="1" applyAlignment="1">
      <alignment horizontal="center"/>
    </xf>
    <xf numFmtId="0" fontId="0" fillId="53" borderId="0" xfId="0" applyFill="1"/>
    <xf numFmtId="0" fontId="63" fillId="15" borderId="18" xfId="0" applyFont="1" applyFill="1" applyBorder="1"/>
    <xf numFmtId="0" fontId="63" fillId="15" borderId="6" xfId="0" applyFont="1" applyFill="1" applyBorder="1"/>
    <xf numFmtId="0" fontId="3" fillId="15" borderId="6" xfId="0" applyFont="1" applyFill="1" applyBorder="1"/>
    <xf numFmtId="0" fontId="63" fillId="15" borderId="0" xfId="0" applyFont="1" applyFill="1" applyBorder="1"/>
    <xf numFmtId="0" fontId="3" fillId="15" borderId="0" xfId="0" applyFont="1" applyFill="1" applyBorder="1"/>
    <xf numFmtId="166" fontId="63" fillId="15" borderId="0" xfId="0" applyNumberFormat="1" applyFont="1" applyFill="1" applyBorder="1"/>
    <xf numFmtId="166" fontId="3" fillId="15" borderId="0" xfId="0" applyNumberFormat="1" applyFont="1" applyFill="1" applyBorder="1"/>
    <xf numFmtId="0" fontId="63" fillId="15" borderId="13" xfId="0" applyFont="1" applyFill="1" applyBorder="1"/>
    <xf numFmtId="0" fontId="63" fillId="15" borderId="3" xfId="0" applyFont="1" applyFill="1" applyBorder="1"/>
    <xf numFmtId="0" fontId="3" fillId="15" borderId="3" xfId="0" applyFont="1" applyFill="1" applyBorder="1"/>
    <xf numFmtId="167" fontId="0" fillId="13" borderId="5" xfId="0" applyNumberFormat="1" applyFill="1" applyBorder="1"/>
    <xf numFmtId="167" fontId="0" fillId="0" borderId="5" xfId="0" applyNumberFormat="1" applyFill="1" applyBorder="1"/>
    <xf numFmtId="0" fontId="3" fillId="0" borderId="0" xfId="0" applyFont="1" applyFill="1" applyBorder="1"/>
    <xf numFmtId="0" fontId="4" fillId="12" borderId="4" xfId="0" quotePrefix="1" applyFont="1" applyFill="1" applyBorder="1"/>
    <xf numFmtId="0" fontId="3" fillId="13" borderId="13" xfId="0" applyFont="1" applyFill="1" applyBorder="1"/>
    <xf numFmtId="0" fontId="0" fillId="13" borderId="3" xfId="0" applyFill="1" applyBorder="1"/>
    <xf numFmtId="167" fontId="0" fillId="13" borderId="15" xfId="0" applyNumberFormat="1" applyFill="1" applyBorder="1"/>
    <xf numFmtId="0" fontId="0" fillId="12" borderId="13" xfId="0" applyFill="1" applyBorder="1"/>
    <xf numFmtId="167" fontId="3" fillId="13" borderId="15" xfId="0" applyNumberFormat="1" applyFont="1" applyFill="1" applyBorder="1"/>
    <xf numFmtId="167" fontId="3" fillId="13" borderId="14" xfId="0" applyNumberFormat="1" applyFont="1" applyFill="1" applyBorder="1"/>
    <xf numFmtId="49" fontId="60" fillId="16" borderId="18" xfId="35" applyNumberFormat="1" applyFont="1" applyFill="1" applyBorder="1" applyAlignment="1">
      <alignment horizontal="center"/>
    </xf>
    <xf numFmtId="49" fontId="60" fillId="16" borderId="6" xfId="35" applyNumberFormat="1" applyFont="1" applyFill="1" applyBorder="1" applyAlignment="1">
      <alignment horizontal="center"/>
    </xf>
    <xf numFmtId="49" fontId="60" fillId="16" borderId="12" xfId="35" applyNumberFormat="1" applyFont="1" applyFill="1" applyBorder="1" applyAlignment="1">
      <alignment horizontal="center"/>
    </xf>
    <xf numFmtId="0" fontId="60" fillId="16" borderId="18" xfId="35" applyNumberFormat="1" applyFont="1" applyFill="1" applyBorder="1" applyAlignment="1">
      <alignment horizontal="center"/>
    </xf>
    <xf numFmtId="0" fontId="60" fillId="16" borderId="6" xfId="35" applyNumberFormat="1" applyFont="1" applyFill="1" applyBorder="1" applyAlignment="1">
      <alignment horizontal="center"/>
    </xf>
    <xf numFmtId="0" fontId="60" fillId="16" borderId="12" xfId="35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10" borderId="1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11" borderId="18" xfId="0" applyFont="1" applyFill="1" applyBorder="1" applyAlignment="1">
      <alignment horizontal="center"/>
    </xf>
    <xf numFmtId="0" fontId="4" fillId="12" borderId="18" xfId="0" applyFont="1" applyFill="1" applyBorder="1" applyAlignment="1">
      <alignment horizontal="center"/>
    </xf>
    <xf numFmtId="166" fontId="0" fillId="0" borderId="0" xfId="35" applyNumberFormat="1" applyFont="1" applyBorder="1" applyAlignment="1">
      <alignment horizontal="center"/>
    </xf>
    <xf numFmtId="49" fontId="4" fillId="11" borderId="18" xfId="35" applyNumberFormat="1" applyFont="1" applyFill="1" applyBorder="1" applyAlignment="1">
      <alignment horizontal="center"/>
    </xf>
    <xf numFmtId="166" fontId="0" fillId="0" borderId="3" xfId="35" applyNumberFormat="1" applyFont="1" applyBorder="1" applyAlignment="1">
      <alignment horizontal="center"/>
    </xf>
    <xf numFmtId="0" fontId="4" fillId="13" borderId="18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</cellXfs>
  <cellStyles count="493">
    <cellStyle name="$" xfId="1"/>
    <cellStyle name="$ &amp; ¢" xfId="2"/>
    <cellStyle name="$_Book1000" xfId="3"/>
    <cellStyle name="$_N24 Model" xfId="4"/>
    <cellStyle name="$_Network24 Projections" xfId="5"/>
    <cellStyle name="$m" xfId="6"/>
    <cellStyle name="$q" xfId="7"/>
    <cellStyle name="$q*" xfId="8"/>
    <cellStyle name="$qA" xfId="9"/>
    <cellStyle name="$qRange" xfId="10"/>
    <cellStyle name="$sign" xfId="11"/>
    <cellStyle name="%" xfId="12"/>
    <cellStyle name="%.00" xfId="13"/>
    <cellStyle name="?? [0]_VERA" xfId="14"/>
    <cellStyle name="?????_VERA" xfId="15"/>
    <cellStyle name="????_FIX 0503 Revenue Share Mar 2005" xfId="248"/>
    <cellStyle name="??_??????_???" xfId="16"/>
    <cellStyle name="20% - Accent1" xfId="223" builtinId="30" customBuiltin="1"/>
    <cellStyle name="20% - Accent1 2" xfId="467"/>
    <cellStyle name="20% - Accent1 3" xfId="436"/>
    <cellStyle name="20% - Accent2" xfId="227" builtinId="34" customBuiltin="1"/>
    <cellStyle name="20% - Accent2 2" xfId="469"/>
    <cellStyle name="20% - Accent2 3" xfId="438"/>
    <cellStyle name="20% - Accent3" xfId="231" builtinId="38" customBuiltin="1"/>
    <cellStyle name="20% - Accent3 2" xfId="471"/>
    <cellStyle name="20% - Accent3 3" xfId="440"/>
    <cellStyle name="20% - Accent4" xfId="235" builtinId="42" customBuiltin="1"/>
    <cellStyle name="20% - Accent4 2" xfId="473"/>
    <cellStyle name="20% - Accent4 3" xfId="442"/>
    <cellStyle name="20% - Accent5" xfId="239" builtinId="46" customBuiltin="1"/>
    <cellStyle name="20% - Accent5 2" xfId="475"/>
    <cellStyle name="20% - Accent5 3" xfId="444"/>
    <cellStyle name="20% - Accent6" xfId="243" builtinId="50" customBuiltin="1"/>
    <cellStyle name="20% - Accent6 2" xfId="477"/>
    <cellStyle name="20% - Accent6 3" xfId="446"/>
    <cellStyle name="40% - Accent1" xfId="224" builtinId="31" customBuiltin="1"/>
    <cellStyle name="40% - Accent1 2" xfId="468"/>
    <cellStyle name="40% - Accent1 3" xfId="437"/>
    <cellStyle name="40% - Accent2" xfId="228" builtinId="35" customBuiltin="1"/>
    <cellStyle name="40% - Accent2 2" xfId="470"/>
    <cellStyle name="40% - Accent2 3" xfId="439"/>
    <cellStyle name="40% - Accent3" xfId="232" builtinId="39" customBuiltin="1"/>
    <cellStyle name="40% - Accent3 2" xfId="472"/>
    <cellStyle name="40% - Accent3 3" xfId="441"/>
    <cellStyle name="40% - Accent4" xfId="236" builtinId="43" customBuiltin="1"/>
    <cellStyle name="40% - Accent4 2" xfId="474"/>
    <cellStyle name="40% - Accent4 3" xfId="443"/>
    <cellStyle name="40% - Accent5" xfId="240" builtinId="47" customBuiltin="1"/>
    <cellStyle name="40% - Accent5 2" xfId="476"/>
    <cellStyle name="40% - Accent5 3" xfId="445"/>
    <cellStyle name="40% - Accent6" xfId="244" builtinId="51" customBuiltin="1"/>
    <cellStyle name="40% - Accent6 2" xfId="478"/>
    <cellStyle name="40% - Accent6 3" xfId="447"/>
    <cellStyle name="60% - Accent1" xfId="225" builtinId="32" customBuiltin="1"/>
    <cellStyle name="60% - Accent2" xfId="229" builtinId="36" customBuiltin="1"/>
    <cellStyle name="60% - Accent3" xfId="233" builtinId="40" customBuiltin="1"/>
    <cellStyle name="60% - Accent4" xfId="237" builtinId="44" customBuiltin="1"/>
    <cellStyle name="60% - Accent5" xfId="241" builtinId="48" customBuiltin="1"/>
    <cellStyle name="60% - Accent6" xfId="245" builtinId="52" customBuiltin="1"/>
    <cellStyle name="Accent1" xfId="222" builtinId="29" customBuiltin="1"/>
    <cellStyle name="Accent2" xfId="226" builtinId="33" customBuiltin="1"/>
    <cellStyle name="Accent3" xfId="230" builtinId="37" customBuiltin="1"/>
    <cellStyle name="Accent4" xfId="234" builtinId="41" customBuiltin="1"/>
    <cellStyle name="Accent5" xfId="238" builtinId="45" customBuiltin="1"/>
    <cellStyle name="Accent6" xfId="242" builtinId="49" customBuiltin="1"/>
    <cellStyle name="Arial 10" xfId="17"/>
    <cellStyle name="Arial 10 2" xfId="249"/>
    <cellStyle name="Arial 12" xfId="18"/>
    <cellStyle name="Bad" xfId="212" builtinId="27" customBuiltin="1"/>
    <cellStyle name="Border Heavy" xfId="19"/>
    <cellStyle name="Border Thin" xfId="20"/>
    <cellStyle name="Border, Bottom" xfId="21"/>
    <cellStyle name="Border, Left" xfId="22"/>
    <cellStyle name="Border, Right" xfId="23"/>
    <cellStyle name="Border, Top" xfId="24"/>
    <cellStyle name="British Pound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1)" xfId="32"/>
    <cellStyle name="Calc Units (2)" xfId="33"/>
    <cellStyle name="Calculation" xfId="216" builtinId="22" customBuiltin="1"/>
    <cellStyle name="Check Cell" xfId="218" builtinId="23" customBuiltin="1"/>
    <cellStyle name="Colhead_left" xfId="34"/>
    <cellStyle name="Comma" xfId="35" builtinId="3"/>
    <cellStyle name="Comma  - Style1" xfId="36"/>
    <cellStyle name="Comma  - Style2" xfId="37"/>
    <cellStyle name="Comma  - Style3" xfId="38"/>
    <cellStyle name="Comma  - Style4" xfId="39"/>
    <cellStyle name="Comma  - Style5" xfId="40"/>
    <cellStyle name="Comma  - Style6" xfId="41"/>
    <cellStyle name="Comma  - Style7" xfId="42"/>
    <cellStyle name="Comma  - Style8" xfId="43"/>
    <cellStyle name="comma (0)" xfId="44"/>
    <cellStyle name="Comma [00]" xfId="45"/>
    <cellStyle name="Comma 0" xfId="46"/>
    <cellStyle name="Comma 10" xfId="461"/>
    <cellStyle name="Comma 2" xfId="47"/>
    <cellStyle name="Comma 2 2" xfId="377"/>
    <cellStyle name="Comma 3" xfId="251"/>
    <cellStyle name="Comma 4" xfId="252"/>
    <cellStyle name="Comma 4 2" xfId="430"/>
    <cellStyle name="Comma 5" xfId="253"/>
    <cellStyle name="Comma 6" xfId="254"/>
    <cellStyle name="Comma 7" xfId="255"/>
    <cellStyle name="Comma 7 2" xfId="378"/>
    <cellStyle name="Comma 8" xfId="370"/>
    <cellStyle name="Comma 9" xfId="375"/>
    <cellStyle name="Comma 9 2" xfId="487"/>
    <cellStyle name="Comma 9 3" xfId="454"/>
    <cellStyle name="Comma0" xfId="256"/>
    <cellStyle name="Currency" xfId="48" builtinId="4"/>
    <cellStyle name="Currency [00]" xfId="49"/>
    <cellStyle name="Currency [2]" xfId="50"/>
    <cellStyle name="Currency 0" xfId="51"/>
    <cellStyle name="Currency 2" xfId="52"/>
    <cellStyle name="Currency 3" xfId="374"/>
    <cellStyle name="Currency 4" xfId="379"/>
    <cellStyle name="Currency 5" xfId="380"/>
    <cellStyle name="Currency 6" xfId="381"/>
    <cellStyle name="Currency0" xfId="257"/>
    <cellStyle name="d_yield" xfId="53"/>
    <cellStyle name="d_yield_Metrics Q1 2010 Unlocked" xfId="54"/>
    <cellStyle name="d_yield_Units" xfId="382"/>
    <cellStyle name="Date" xfId="55"/>
    <cellStyle name="Date 2" xfId="258"/>
    <cellStyle name="Date 3" xfId="429"/>
    <cellStyle name="Date Aligned" xfId="56"/>
    <cellStyle name="Date Short" xfId="57"/>
    <cellStyle name="Date_2005 HC Requests" xfId="260"/>
    <cellStyle name="Dotted Line" xfId="58"/>
    <cellStyle name="Double Accounting" xfId="59"/>
    <cellStyle name="Enter Currency (0)" xfId="60"/>
    <cellStyle name="Enter Currency (2)" xfId="61"/>
    <cellStyle name="Enter Units (0)" xfId="62"/>
    <cellStyle name="Enter Units (1)" xfId="63"/>
    <cellStyle name="Enter Units (2)" xfId="64"/>
    <cellStyle name="eps" xfId="65"/>
    <cellStyle name="eps$" xfId="66"/>
    <cellStyle name="eps$A" xfId="67"/>
    <cellStyle name="eps$E" xfId="68"/>
    <cellStyle name="eps_Akamai_Model_Master012301" xfId="69"/>
    <cellStyle name="epsA" xfId="70"/>
    <cellStyle name="epsE" xfId="71"/>
    <cellStyle name="Euro" xfId="262"/>
    <cellStyle name="Euro 2" xfId="432"/>
    <cellStyle name="Explanatory Text" xfId="220" builtinId="53" customBuiltin="1"/>
    <cellStyle name="Fixed" xfId="263"/>
    <cellStyle name="Followed Hyperlink" xfId="426" builtinId="9" customBuiltin="1"/>
    <cellStyle name="Footnote" xfId="72"/>
    <cellStyle name="fy_eps$" xfId="73"/>
    <cellStyle name="g_rate" xfId="74"/>
    <cellStyle name="g_rate 2" xfId="264"/>
    <cellStyle name="g_rate_2005 Headcount Manager" xfId="265"/>
    <cellStyle name="g_rate_2005 Headcount Manager_Units" xfId="383"/>
    <cellStyle name="g_rate_20072008 charts" xfId="266"/>
    <cellStyle name="g_rate_2008 10 06 Oct Global Forecast" xfId="267"/>
    <cellStyle name="g_rate_2008 New Customer Revenue Impact" xfId="384"/>
    <cellStyle name="g_rate_2008 Tier A+  A '09 Targets-wkcpy (4)" xfId="268"/>
    <cellStyle name="g_rate_2008 Tier A+  A '09 Targets-wkcpy-SAS" xfId="269"/>
    <cellStyle name="g_rate_2009 Currency Impact Estimate (Dec 03 08)" xfId="270"/>
    <cellStyle name="g_rate_2009 Unit Count by Sales Organization (2)" xfId="385"/>
    <cellStyle name="g_rate_2009 Unit Count by Sales Organization (Dec 2)" xfId="386"/>
    <cellStyle name="g_rate_3 Year  Model 4-15.1 Base with 2006 and 2007 v1" xfId="75"/>
    <cellStyle name="g_rate_3 Year  Model 4-15.1 Base with 2006 and 2007 v1_Metrics Q1 2010 Unlocked" xfId="76"/>
    <cellStyle name="g_rate_3 Year  Model 4-15.1 Base with 2006 and 2007 v1_Units" xfId="387"/>
    <cellStyle name="g_rate_3 Year Plan CapEx swag for 7 21 BOD (2)" xfId="77"/>
    <cellStyle name="g_rate_3 Year Plan CapEx swag for 7 21 BOD (2)_Metrics Q1 2010 Unlocked" xfId="78"/>
    <cellStyle name="g_rate_AKAM COGS Build-up" xfId="388"/>
    <cellStyle name="g_rate_Akamai_Model_Master012301" xfId="79"/>
    <cellStyle name="g_rate_Akamai_Model_Master012301_Metrics Q1 2010 Unlocked" xfId="80"/>
    <cellStyle name="g_rate_Akamai_Model_Master012301_Units" xfId="389"/>
    <cellStyle name="g_rate_Akamai_Model_Master021601" xfId="81"/>
    <cellStyle name="g_rate_Akamai_Model_Master021601_Metrics Q1 2010 Unlocked" xfId="82"/>
    <cellStyle name="g_rate_Akamai_Model_Master021601_Units" xfId="390"/>
    <cellStyle name="g_rate_Akamai_Model_Master061001" xfId="83"/>
    <cellStyle name="g_rate_Akamai_Model_Master061001_Metrics Q1 2010 Unlocked" xfId="84"/>
    <cellStyle name="g_rate_Akamai_Model_Master061001_Units" xfId="391"/>
    <cellStyle name="g_rate_AOL_Model_Master" xfId="85"/>
    <cellStyle name="g_rate_AOL_Model_Master_Metrics Q1 2010 Unlocked" xfId="86"/>
    <cellStyle name="g_rate_AOL_Model_Master_Units" xfId="392"/>
    <cellStyle name="g_rate_Book2" xfId="271"/>
    <cellStyle name="g_rate_Currency Analysis 09 RB (Feb 03 08)" xfId="272"/>
    <cellStyle name="g_rate_Currency Analysis 09 RB (Jan 23 08)" xfId="273"/>
    <cellStyle name="g_rate_Data by Month" xfId="274"/>
    <cellStyle name="g_rate_deprec update 7.1.04" xfId="87"/>
    <cellStyle name="g_rate_deprec update 7.1.04_Metrics Q1 2010 Unlocked" xfId="88"/>
    <cellStyle name="g_rate_deprec update 7.1.04_Units" xfId="393"/>
    <cellStyle name="g_rate_deprec update 7.8.04" xfId="89"/>
    <cellStyle name="g_rate_deprec update 7.8.04_Metrics Q1 2010 Unlocked" xfId="90"/>
    <cellStyle name="g_rate_deprec update 7.8.04_Units" xfId="394"/>
    <cellStyle name="g_rate_Earnings Call - Currency Analysis (Feb 09)" xfId="275"/>
    <cellStyle name="g_rate_Earnings Call - Currency Analysis (Feb 09) RB" xfId="276"/>
    <cellStyle name="g_rate_EarningsModel" xfId="91"/>
    <cellStyle name="g_rate_EarningsModel_Metrics Q1 2010 Unlocked" xfId="92"/>
    <cellStyle name="g_rate_EarningsModel_Units" xfId="395"/>
    <cellStyle name="g_rate_Ed's Comments on 2009 Rev Plan" xfId="277"/>
    <cellStyle name="g_rate_Hist + F'Cast RT &amp; CT" xfId="396"/>
    <cellStyle name="g_rate_Info for monthly COGS meeting" xfId="93"/>
    <cellStyle name="g_rate_Info for monthly COGS meeting_Metrics Q1 2010 Unlocked" xfId="94"/>
    <cellStyle name="g_rate_Info for monthly COGS meeting_Units" xfId="397"/>
    <cellStyle name="g_rate_Jan 23 Currency Analysis 09 RB (Jan 23 08)" xfId="278"/>
    <cellStyle name="g_rate_JD Q4 revenue" xfId="95"/>
    <cellStyle name="g_rate_JD Q4 revenue_Metrics Q1 2010 Unlocked" xfId="96"/>
    <cellStyle name="g_rate_JDs Mgmt Offsite 9_23_08" xfId="279"/>
    <cellStyle name="g_rate_LC Model082901 - MASTER" xfId="97"/>
    <cellStyle name="g_rate_LC Model082901 - MASTER_Metrics Q1 2010 Unlocked" xfId="98"/>
    <cellStyle name="g_rate_LC Model082901 - MASTER_Units" xfId="398"/>
    <cellStyle name="g_rate_Mapping Points" xfId="99"/>
    <cellStyle name="g_rate_Mapping Points_Metrics Q1 2010 Unlocked" xfId="100"/>
    <cellStyle name="g_rate_Mapping Points_Units" xfId="399"/>
    <cellStyle name="g_rate_Mapping Points2" xfId="101"/>
    <cellStyle name="g_rate_Mapping Points2_Metrics Q1 2010 Unlocked" xfId="102"/>
    <cellStyle name="g_rate_Mapping Points2_Units" xfId="400"/>
    <cellStyle name="g_rate_Metrics - 2008" xfId="280"/>
    <cellStyle name="g_rate_Metrics Q1 2010 Unlocked" xfId="103"/>
    <cellStyle name="g_rate_MSFT_Model_Master012201" xfId="104"/>
    <cellStyle name="g_rate_MSFT_Model_Master012201_Metrics Q1 2010 Unlocked" xfId="105"/>
    <cellStyle name="g_rate_MSFT_Model_Master012201_Units" xfId="401"/>
    <cellStyle name="g_rate_MSFT_Model_Master101801.xls1" xfId="106"/>
    <cellStyle name="g_rate_MSFT_Model_Master101801.xls1_Metrics Q1 2010 Unlocked" xfId="107"/>
    <cellStyle name="g_rate_MSFT_Model_Master101801.xls1_Units" xfId="402"/>
    <cellStyle name="g_rate_New RHATModel 022101" xfId="108"/>
    <cellStyle name="g_rate_New RHATModel 022101_Metrics Q1 2010 Unlocked" xfId="109"/>
    <cellStyle name="g_rate_New RHATModel 022101_Units" xfId="403"/>
    <cellStyle name="g_rate_Q3 09 FX Analysis (07-15-09)" xfId="281"/>
    <cellStyle name="g_rate_Q4 2008 Currency Impact Est as Dec Avg (Dec 08 08)" xfId="282"/>
    <cellStyle name="g_rate_Q4 2008 Currency Impact Est as Nov Avg (Nov 10 08)" xfId="283"/>
    <cellStyle name="g_rate_Q4 2008 Currency Impact Est as Nov Avg (Nov 30 08)" xfId="284"/>
    <cellStyle name="g_rate_Q4 2008 Currency Impact Est as Oct Avg (Nov 13 08)" xfId="285"/>
    <cellStyle name="g_rate_Revenue by segment 09-23-2008" xfId="286"/>
    <cellStyle name="g_rate_Revenue Forecast 3YP 6_11_08" xfId="287"/>
    <cellStyle name="g_rate_Sales Productivity to Revenue" xfId="404"/>
    <cellStyle name="g_rate_Summary-Install" xfId="288"/>
    <cellStyle name="g_rate_Summary-Maintenance" xfId="289"/>
    <cellStyle name="g_rate_Summary-Royalty" xfId="290"/>
    <cellStyle name="g_rate_Summary-Site Analyzer" xfId="291"/>
    <cellStyle name="g_rate_Tom's Effective cost per Mb" xfId="292"/>
    <cellStyle name="g_rate_Top accts segmentation (09-24-2008)" xfId="293"/>
    <cellStyle name="g_rate_Top accts segmentation (09-25-2008)" xfId="294"/>
    <cellStyle name="g_rate_Traffic by Group (YTD Q3-2008) (version 1)" xfId="405"/>
    <cellStyle name="g_rate_Units" xfId="406"/>
    <cellStyle name="g_rate_VRSN Model Master 071201" xfId="110"/>
    <cellStyle name="g_rate_VRSN Model Master 071201_Metrics Q1 2010 Unlocked" xfId="111"/>
    <cellStyle name="g_rate_VRSN Model Master 071201_Units" xfId="407"/>
    <cellStyle name="Good" xfId="211" builtinId="26" customBuiltin="1"/>
    <cellStyle name="Grey" xfId="112"/>
    <cellStyle name="Grey 2" xfId="295"/>
    <cellStyle name="Hard Percent" xfId="113"/>
    <cellStyle name="Header" xfId="114"/>
    <cellStyle name="HEADER 2" xfId="296"/>
    <cellStyle name="Header1" xfId="115"/>
    <cellStyle name="Header2" xfId="116"/>
    <cellStyle name="Heading 1" xfId="209" builtinId="16" customBuiltin="1"/>
    <cellStyle name="Heading 1 2" xfId="428"/>
    <cellStyle name="Heading 2" xfId="117" builtinId="17" customBuiltin="1"/>
    <cellStyle name="Heading 2 2" xfId="419"/>
    <cellStyle name="Heading 2 3" xfId="427"/>
    <cellStyle name="Heading 3" xfId="118" builtinId="18" customBuiltin="1"/>
    <cellStyle name="Heading 3 2" xfId="420"/>
    <cellStyle name="Heading 4" xfId="210" builtinId="19" customBuiltin="1"/>
    <cellStyle name="Headings" xfId="297"/>
    <cellStyle name="Hyperlink 2" xfId="298"/>
    <cellStyle name="Hyperlink 3" xfId="299"/>
    <cellStyle name="Hyperlink 4" xfId="300"/>
    <cellStyle name="Hyperlink 5" xfId="301"/>
    <cellStyle name="Hyperlink 6" xfId="302"/>
    <cellStyle name="Hyperlink 7" xfId="303"/>
    <cellStyle name="Hyperlink 8" xfId="371"/>
    <cellStyle name="Hyperlink 9" xfId="425"/>
    <cellStyle name="Input" xfId="214" builtinId="20" customBuiltin="1"/>
    <cellStyle name="Input [yellow]" xfId="119"/>
    <cellStyle name="Input [yellow] 2" xfId="304"/>
    <cellStyle name="KP_Normal" xfId="120"/>
    <cellStyle name="Link Currency (0)" xfId="121"/>
    <cellStyle name="Link Currency (2)" xfId="122"/>
    <cellStyle name="Link Units (0)" xfId="123"/>
    <cellStyle name="Link Units (1)" xfId="124"/>
    <cellStyle name="Link Units (2)" xfId="125"/>
    <cellStyle name="Linked Cell" xfId="217" builtinId="24" customBuiltin="1"/>
    <cellStyle name="m" xfId="126"/>
    <cellStyle name="m 2" xfId="305"/>
    <cellStyle name="m$" xfId="127"/>
    <cellStyle name="m_2005 Headcount Manager" xfId="306"/>
    <cellStyle name="m_20072008 charts" xfId="307"/>
    <cellStyle name="m_2008 10 06 Oct Global Forecast" xfId="308"/>
    <cellStyle name="m_2008 New Customer Revenue Impact" xfId="408"/>
    <cellStyle name="m_2008 Tier A+  A '09 Targets-wkcpy (4)" xfId="309"/>
    <cellStyle name="m_2008 Tier A+  A '09 Targets-wkcpy-SAS" xfId="310"/>
    <cellStyle name="m_2009 Currency Impact Estimate (Dec 03 08)" xfId="311"/>
    <cellStyle name="m_2009 Unit Count by Sales Organization (2)" xfId="409"/>
    <cellStyle name="m_2009 Unit Count by Sales Organization (Dec 2)" xfId="410"/>
    <cellStyle name="m_3 Year  Model 4-15.1 Base with 2006 and 2007 v1" xfId="128"/>
    <cellStyle name="m_3 Year Plan CapEx swag for 7 21 BOD (2)" xfId="129"/>
    <cellStyle name="m_AKAM COGS Build-up" xfId="411"/>
    <cellStyle name="m_Akamai_Model_Master012301" xfId="130"/>
    <cellStyle name="m_Akamai_Model_Master021601" xfId="131"/>
    <cellStyle name="m_Akamai_Model_Master061001" xfId="132"/>
    <cellStyle name="m_AOL_Model_Master" xfId="133"/>
    <cellStyle name="m_Book2" xfId="312"/>
    <cellStyle name="m_Currency Analysis 09 RB (Feb 03 08)" xfId="313"/>
    <cellStyle name="m_Currency Analysis 09 RB (Jan 23 08)" xfId="314"/>
    <cellStyle name="m_Data by Month" xfId="315"/>
    <cellStyle name="m_deprec update 7.1.04" xfId="134"/>
    <cellStyle name="m_deprec update 7.8.04" xfId="135"/>
    <cellStyle name="m_Earnings Call - Currency Analysis (Feb 09)" xfId="316"/>
    <cellStyle name="m_Earnings Call - Currency Analysis (Feb 09) RB" xfId="317"/>
    <cellStyle name="m_EarningsModel" xfId="136"/>
    <cellStyle name="m_Ed's Comments on 2009 Rev Plan" xfId="318"/>
    <cellStyle name="m_Hist + F'Cast RT &amp; CT" xfId="412"/>
    <cellStyle name="m_Info for monthly COGS meeting" xfId="137"/>
    <cellStyle name="m_Jan 23 Currency Analysis 09 RB (Jan 23 08)" xfId="319"/>
    <cellStyle name="m_JD Q4 revenue" xfId="138"/>
    <cellStyle name="m_JDs Mgmt Offsite 9_23_08" xfId="320"/>
    <cellStyle name="m_LC Model082901 - MASTER" xfId="139"/>
    <cellStyle name="m_Mapping Points" xfId="140"/>
    <cellStyle name="m_Mapping Points2" xfId="141"/>
    <cellStyle name="m_Metrics - 2008" xfId="321"/>
    <cellStyle name="m_MSFT_Model_Master012201" xfId="142"/>
    <cellStyle name="m_MSFT_Model_Master101801.xls1" xfId="143"/>
    <cellStyle name="m_New RHATModel 022101" xfId="144"/>
    <cellStyle name="m_Q3 09 FX Analysis (07-15-09)" xfId="322"/>
    <cellStyle name="m_Q4 2008 Currency Impact Est as Dec Avg (Dec 08 08)" xfId="323"/>
    <cellStyle name="m_Q4 2008 Currency Impact Est as Nov Avg (Nov 10 08)" xfId="324"/>
    <cellStyle name="m_Q4 2008 Currency Impact Est as Nov Avg (Nov 30 08)" xfId="325"/>
    <cellStyle name="m_Q4 2008 Currency Impact Est as Oct Avg (Nov 13 08)" xfId="326"/>
    <cellStyle name="m_Revenue by segment 09-23-2008" xfId="327"/>
    <cellStyle name="m_Revenue Forecast 3YP 6_11_08" xfId="328"/>
    <cellStyle name="m_Sales Productivity to Revenue" xfId="413"/>
    <cellStyle name="m_Summary-Install" xfId="329"/>
    <cellStyle name="m_Summary-Maintenance" xfId="330"/>
    <cellStyle name="m_Summary-Royalty" xfId="331"/>
    <cellStyle name="m_Summary-Site Analyzer" xfId="332"/>
    <cellStyle name="m_Tom's Effective cost per Mb" xfId="333"/>
    <cellStyle name="m_Top accts segmentation (09-24-2008)" xfId="334"/>
    <cellStyle name="m_Top accts segmentation (09-25-2008)" xfId="335"/>
    <cellStyle name="m_Traffic by Group (YTD Q3-2008) (version 1)" xfId="414"/>
    <cellStyle name="m_VRSN Model Master 071201" xfId="145"/>
    <cellStyle name="Milliers [0]_PERSONAL" xfId="336"/>
    <cellStyle name="Milliers_PERSONAL" xfId="337"/>
    <cellStyle name="Millions" xfId="338"/>
    <cellStyle name="mm" xfId="146"/>
    <cellStyle name="mm 2" xfId="339"/>
    <cellStyle name="mm/dd/yy" xfId="147"/>
    <cellStyle name="mm_2005 Headcount Manager" xfId="340"/>
    <cellStyle name="Model" xfId="148"/>
    <cellStyle name="Monétaire [0]_PERSONAL" xfId="341"/>
    <cellStyle name="Monétaire_PERSONAL" xfId="342"/>
    <cellStyle name="Multiple" xfId="149"/>
    <cellStyle name="Neutral" xfId="213" builtinId="28" customBuiltin="1"/>
    <cellStyle name="no dec" xfId="150"/>
    <cellStyle name="Normal" xfId="0" builtinId="0"/>
    <cellStyle name="Normal - Style1" xfId="151"/>
    <cellStyle name="Normal 10" xfId="423"/>
    <cellStyle name="Normal 10 2" xfId="489"/>
    <cellStyle name="Normal 10 3" xfId="457"/>
    <cellStyle name="Normal 11" xfId="246"/>
    <cellStyle name="Normal 12" xfId="418"/>
    <cellStyle name="Normal 13" xfId="431"/>
    <cellStyle name="Normal 14" xfId="459"/>
    <cellStyle name="Normal 15" xfId="462"/>
    <cellStyle name="Normal 2" xfId="343"/>
    <cellStyle name="Normal 2 2" xfId="415"/>
    <cellStyle name="Normal 2 3" xfId="261"/>
    <cellStyle name="Normal 3" xfId="247"/>
    <cellStyle name="Normal 3 2" xfId="373"/>
    <cellStyle name="Normal 4" xfId="344"/>
    <cellStyle name="Normal 4 2" xfId="416"/>
    <cellStyle name="Normal 4 3" xfId="479"/>
    <cellStyle name="Normal 4 4" xfId="449"/>
    <cellStyle name="Normal 5" xfId="345"/>
    <cellStyle name="Normal 5 2" xfId="480"/>
    <cellStyle name="Normal 5 3" xfId="450"/>
    <cellStyle name="Normal 6" xfId="346"/>
    <cellStyle name="Normal 6 2" xfId="481"/>
    <cellStyle name="Normal 6 3" xfId="451"/>
    <cellStyle name="Normal 7" xfId="347"/>
    <cellStyle name="Normal 7 2" xfId="482"/>
    <cellStyle name="Normal 7 3" xfId="452"/>
    <cellStyle name="Normal 8" xfId="368"/>
    <cellStyle name="Normal 8 2" xfId="486"/>
    <cellStyle name="Normal 8 3" xfId="453"/>
    <cellStyle name="Normal 9" xfId="369"/>
    <cellStyle name="Note 2" xfId="424"/>
    <cellStyle name="Note 2 2" xfId="490"/>
    <cellStyle name="Note 2 3" xfId="458"/>
    <cellStyle name="Output" xfId="215" builtinId="21" customBuiltin="1"/>
    <cellStyle name="Output Amounts" xfId="152"/>
    <cellStyle name="Output Amounts 2" xfId="348"/>
    <cellStyle name="Output Column Headings" xfId="153"/>
    <cellStyle name="Output Column Headings 2" xfId="422"/>
    <cellStyle name="Output Line Items" xfId="154"/>
    <cellStyle name="Output Line Items 2" xfId="433"/>
    <cellStyle name="Output Report Heading" xfId="155"/>
    <cellStyle name="Output Report Heading 2" xfId="250"/>
    <cellStyle name="Output Report Title" xfId="156"/>
    <cellStyle name="Output Report Title 2" xfId="421"/>
    <cellStyle name="Page Heading Large" xfId="157"/>
    <cellStyle name="Page Heading Small" xfId="158"/>
    <cellStyle name="Page Number" xfId="159"/>
    <cellStyle name="Palatino" xfId="160"/>
    <cellStyle name="Palatino 2" xfId="349"/>
    <cellStyle name="Palatino 2 2" xfId="483"/>
    <cellStyle name="Palatino 3" xfId="463"/>
    <cellStyle name="pe" xfId="161"/>
    <cellStyle name="PEG" xfId="162"/>
    <cellStyle name="Percent" xfId="163" builtinId="5"/>
    <cellStyle name="Percent [0]" xfId="164"/>
    <cellStyle name="Percent [00]" xfId="165"/>
    <cellStyle name="Percent [00] 2" xfId="350"/>
    <cellStyle name="Percent [2]" xfId="166"/>
    <cellStyle name="Percent 2" xfId="351"/>
    <cellStyle name="Percent 3" xfId="372"/>
    <cellStyle name="Percent 4" xfId="376"/>
    <cellStyle name="Percent 4 2" xfId="488"/>
    <cellStyle name="Percent 4 3" xfId="455"/>
    <cellStyle name="Percent 5" xfId="417"/>
    <cellStyle name="Percent 6" xfId="460"/>
    <cellStyle name="Percent Hard" xfId="167"/>
    <cellStyle name="Percent Hard 2" xfId="352"/>
    <cellStyle name="PostIt" xfId="353"/>
    <cellStyle name="PostItBlue" xfId="354"/>
    <cellStyle name="PostItGreen" xfId="355"/>
    <cellStyle name="PostIt-Green" xfId="356"/>
    <cellStyle name="PostIt-Yellow" xfId="357"/>
    <cellStyle name="PrePop Currency (0)" xfId="168"/>
    <cellStyle name="PrePop Currency (2)" xfId="169"/>
    <cellStyle name="PrePop Units (0)" xfId="170"/>
    <cellStyle name="PrePop Units (1)" xfId="171"/>
    <cellStyle name="PrePop Units (2)" xfId="172"/>
    <cellStyle name="price" xfId="173"/>
    <cellStyle name="Project- O/S" xfId="358"/>
    <cellStyle name="q" xfId="174"/>
    <cellStyle name="QEPS-h" xfId="175"/>
    <cellStyle name="QEPS-H1" xfId="176"/>
    <cellStyle name="qRange" xfId="177"/>
    <cellStyle name="range" xfId="178"/>
    <cellStyle name="Right" xfId="179"/>
    <cellStyle name="Shaded" xfId="180"/>
    <cellStyle name="Single Accounting" xfId="181"/>
    <cellStyle name="Style 1" xfId="182"/>
    <cellStyle name="Style 1 2" xfId="359"/>
    <cellStyle name="Style 2" xfId="360"/>
    <cellStyle name="Subhead" xfId="183"/>
    <cellStyle name="subhead 2" xfId="361"/>
    <cellStyle name="Subhead 3" xfId="464"/>
    <cellStyle name="Subhead 4" xfId="435"/>
    <cellStyle name="Subhead 5" xfId="448"/>
    <cellStyle name="Subhead 6" xfId="491"/>
    <cellStyle name="Subhead 7" xfId="456"/>
    <cellStyle name="Subhead 8" xfId="434"/>
    <cellStyle name="Subhead 9" xfId="492"/>
    <cellStyle name="SubTotal" xfId="362"/>
    <cellStyle name="Table Col Head" xfId="184"/>
    <cellStyle name="Table Head" xfId="185"/>
    <cellStyle name="Table Head Aligned" xfId="186"/>
    <cellStyle name="Table Head Blue" xfId="187"/>
    <cellStyle name="Table Head Green" xfId="188"/>
    <cellStyle name="Table Sub Head" xfId="189"/>
    <cellStyle name="Table Title" xfId="190"/>
    <cellStyle name="Table Units" xfId="191"/>
    <cellStyle name="Table_Header" xfId="192"/>
    <cellStyle name="TableBody" xfId="193"/>
    <cellStyle name="TableColHeads" xfId="194"/>
    <cellStyle name="tcn" xfId="195"/>
    <cellStyle name="Text Indent A" xfId="196"/>
    <cellStyle name="Text Indent B" xfId="197"/>
    <cellStyle name="Text Indent C" xfId="198"/>
    <cellStyle name="Text Wrap" xfId="199"/>
    <cellStyle name="Times 10" xfId="200"/>
    <cellStyle name="Times 12" xfId="201"/>
    <cellStyle name="Title" xfId="208" builtinId="15" customBuiltin="1"/>
    <cellStyle name="title1" xfId="202"/>
    <cellStyle name="title1 2" xfId="363"/>
    <cellStyle name="title1 2 2" xfId="484"/>
    <cellStyle name="title1 3" xfId="465"/>
    <cellStyle name="title2" xfId="203"/>
    <cellStyle name="title2 2" xfId="364"/>
    <cellStyle name="title2 2 2" xfId="485"/>
    <cellStyle name="title2 3" xfId="466"/>
    <cellStyle name="tn" xfId="204"/>
    <cellStyle name="Total" xfId="221" builtinId="25" customBuiltin="1"/>
    <cellStyle name="Total 2" xfId="259"/>
    <cellStyle name="Underline_Single" xfId="205"/>
    <cellStyle name="Unprotect" xfId="365"/>
    <cellStyle name="Warning Text" xfId="219" builtinId="11" customBuiltin="1"/>
    <cellStyle name="Year" xfId="206"/>
    <cellStyle name="Yen" xfId="207"/>
    <cellStyle name="桁区切り_FIX 0503 Revenue Share Mar 2005" xfId="366"/>
    <cellStyle name="標準_FIX 0503 Revenue Share Mar 2005" xfId="36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81242</xdr:rowOff>
    </xdr:from>
    <xdr:to>
      <xdr:col>4</xdr:col>
      <xdr:colOff>764801</xdr:colOff>
      <xdr:row>6</xdr:row>
      <xdr:rowOff>109817</xdr:rowOff>
    </xdr:to>
    <xdr:pic>
      <xdr:nvPicPr>
        <xdr:cNvPr id="10241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64601" y="551889"/>
          <a:ext cx="2333625" cy="499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17369</xdr:colOff>
      <xdr:row>2</xdr:row>
      <xdr:rowOff>107576</xdr:rowOff>
    </xdr:from>
    <xdr:to>
      <xdr:col>1</xdr:col>
      <xdr:colOff>1017494</xdr:colOff>
      <xdr:row>5</xdr:row>
      <xdr:rowOff>121583</xdr:rowOff>
    </xdr:to>
    <xdr:pic>
      <xdr:nvPicPr>
        <xdr:cNvPr id="10242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0281" y="421341"/>
          <a:ext cx="1000125" cy="4846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Research\Readerman\Models\MSFT\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TEMP\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conndist\amp\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shared\shimamh\ACTIVE%20COVERAGE\SDL%20Inc\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ocuments%20and%20Settings\rkomenda\Local%20Settings\Temporary%20Internet%20Files\OLK1D\6+6%20-%2004%20Models\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TEMP\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Research\Hasan%20Imam%202\Active%20Coverage\Models\Systems\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ata$\Departments\IR\Co-Op\Comparables\comps(May%20200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ocuments%20and%20Settings\mphilbin\Desktop\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FT_Rebuild2"/>
      <sheetName val="FinModel-FY"/>
      <sheetName val="Qrtl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harts"/>
      <sheetName val="Sheet1"/>
      <sheetName val="Quarterly"/>
    </sheetNames>
    <sheetDataSet>
      <sheetData sheetId="0"/>
      <sheetData sheetId="1"/>
      <sheetData sheetId="2">
        <row r="8">
          <cell r="Y8">
            <v>98550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JDS Uniphase Corp. (JDSU)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JDS Uniphase  (fiscal year ends June 30)</v>
          </cell>
        </row>
      </sheetData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18"/>
  <sheetViews>
    <sheetView showGridLines="0" tabSelected="1" zoomScale="85" workbookViewId="0">
      <pane xSplit="2" ySplit="11" topLeftCell="C12" activePane="bottomRight" state="frozen"/>
      <selection pane="topRight" activeCell="O1" sqref="O1"/>
      <selection pane="bottomLeft" activeCell="A12" sqref="A12"/>
      <selection pane="bottomRight" activeCell="B36" sqref="B36"/>
    </sheetView>
  </sheetViews>
  <sheetFormatPr defaultColWidth="8.85546875" defaultRowHeight="12.75"/>
  <cols>
    <col min="1" max="1" width="3.140625" style="139" customWidth="1"/>
    <col min="2" max="2" width="63.85546875" customWidth="1"/>
    <col min="3" max="4" width="11.7109375" bestFit="1" customWidth="1"/>
    <col min="5" max="5" width="11.7109375" style="30" bestFit="1" customWidth="1"/>
    <col min="6" max="6" width="11.7109375" style="153" bestFit="1" customWidth="1"/>
    <col min="7" max="7" width="12.28515625" style="153" bestFit="1" customWidth="1"/>
    <col min="8" max="8" width="1.7109375" style="156" customWidth="1"/>
    <col min="9" max="9" width="10" style="153" customWidth="1"/>
    <col min="10" max="10" width="11.7109375" style="153" bestFit="1" customWidth="1"/>
    <col min="11" max="11" width="11.7109375" style="148" bestFit="1" customWidth="1"/>
    <col min="12" max="13" width="12.28515625" style="153" bestFit="1" customWidth="1"/>
    <col min="14" max="14" width="1.7109375" style="156" customWidth="1"/>
    <col min="15" max="15" width="10" style="153" customWidth="1"/>
    <col min="16" max="16" width="10" style="30" bestFit="1" customWidth="1"/>
    <col min="17" max="16384" width="8.85546875" style="30"/>
  </cols>
  <sheetData>
    <row r="1" spans="1:16">
      <c r="A1" s="37"/>
      <c r="B1" s="37"/>
      <c r="C1" s="37"/>
      <c r="D1" s="37"/>
      <c r="E1" s="169"/>
      <c r="F1" s="148"/>
      <c r="G1" s="148"/>
      <c r="H1" s="148"/>
      <c r="I1" s="148"/>
      <c r="J1" s="148"/>
      <c r="L1" s="148"/>
      <c r="M1" s="148"/>
      <c r="N1" s="148"/>
      <c r="O1" s="148"/>
    </row>
    <row r="2" spans="1:16">
      <c r="A2" s="37"/>
      <c r="B2" s="37"/>
      <c r="C2" s="37"/>
      <c r="D2" s="37"/>
      <c r="E2" s="148"/>
      <c r="F2" s="148"/>
      <c r="G2" s="148"/>
      <c r="H2" s="148"/>
      <c r="I2" s="148"/>
      <c r="J2" s="148"/>
      <c r="L2" s="148"/>
      <c r="M2" s="148"/>
      <c r="N2" s="148"/>
      <c r="O2" s="148"/>
    </row>
    <row r="3" spans="1:16" s="129" customFormat="1">
      <c r="A3" s="157"/>
      <c r="B3" s="158"/>
      <c r="C3" s="158"/>
      <c r="D3" s="158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</row>
    <row r="4" spans="1:16" s="129" customFormat="1">
      <c r="A4" s="128"/>
      <c r="B4" s="160"/>
      <c r="C4" s="160"/>
      <c r="D4" s="160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</row>
    <row r="5" spans="1:16" s="129" customFormat="1">
      <c r="A5" s="128"/>
      <c r="B5" s="160"/>
      <c r="C5" s="162"/>
      <c r="D5" s="162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s="129" customFormat="1">
      <c r="A6" s="128"/>
      <c r="B6" s="160"/>
      <c r="C6" s="160"/>
      <c r="D6" s="160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</row>
    <row r="7" spans="1:16" s="129" customFormat="1">
      <c r="A7" s="164"/>
      <c r="B7" s="165"/>
      <c r="C7" s="165"/>
      <c r="D7" s="165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</row>
    <row r="8" spans="1:16" s="129" customFormat="1">
      <c r="A8" s="130" t="s">
        <v>26</v>
      </c>
      <c r="B8" s="131"/>
      <c r="C8" s="131"/>
      <c r="D8" s="131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</row>
    <row r="9" spans="1:16" s="129" customFormat="1">
      <c r="A9" s="130" t="s">
        <v>69</v>
      </c>
      <c r="B9" s="131"/>
      <c r="C9" s="131"/>
      <c r="D9" s="131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</row>
    <row r="10" spans="1:16">
      <c r="A10" s="170" t="s">
        <v>84</v>
      </c>
      <c r="B10" s="131"/>
      <c r="C10" s="177">
        <v>2011</v>
      </c>
      <c r="D10" s="178"/>
      <c r="E10" s="178"/>
      <c r="F10" s="179"/>
      <c r="G10" s="154">
        <v>2011</v>
      </c>
      <c r="H10" s="147"/>
      <c r="I10" s="180">
        <v>2012</v>
      </c>
      <c r="J10" s="181"/>
      <c r="K10" s="181"/>
      <c r="L10" s="182"/>
      <c r="M10" s="154">
        <v>2012</v>
      </c>
      <c r="N10" s="147"/>
      <c r="O10" s="180">
        <v>2013</v>
      </c>
      <c r="P10" s="182"/>
    </row>
    <row r="11" spans="1:16">
      <c r="A11" s="132" t="s">
        <v>83</v>
      </c>
      <c r="B11" s="133"/>
      <c r="C11" s="134" t="s">
        <v>22</v>
      </c>
      <c r="D11" s="149" t="s">
        <v>23</v>
      </c>
      <c r="E11" s="149" t="s">
        <v>24</v>
      </c>
      <c r="F11" s="135" t="s">
        <v>25</v>
      </c>
      <c r="G11" s="155" t="s">
        <v>35</v>
      </c>
      <c r="H11" s="147"/>
      <c r="I11" s="134" t="s">
        <v>22</v>
      </c>
      <c r="J11" s="149" t="s">
        <v>23</v>
      </c>
      <c r="K11" s="149" t="s">
        <v>24</v>
      </c>
      <c r="L11" s="135" t="s">
        <v>25</v>
      </c>
      <c r="M11" s="155" t="s">
        <v>35</v>
      </c>
      <c r="N11" s="147"/>
      <c r="O11" s="134" t="s">
        <v>22</v>
      </c>
      <c r="P11" s="135" t="s">
        <v>23</v>
      </c>
    </row>
    <row r="12" spans="1:16">
      <c r="A12" s="145" t="s">
        <v>81</v>
      </c>
      <c r="B12" s="142"/>
      <c r="C12" s="146"/>
      <c r="D12" s="146"/>
      <c r="E12" s="151"/>
      <c r="F12" s="152"/>
      <c r="G12" s="152"/>
      <c r="H12" s="136"/>
      <c r="I12" s="151"/>
      <c r="J12" s="152"/>
      <c r="K12" s="152"/>
      <c r="L12" s="167"/>
      <c r="M12" s="151"/>
      <c r="N12" s="136"/>
      <c r="O12" s="151"/>
      <c r="P12" s="152"/>
    </row>
    <row r="13" spans="1:16">
      <c r="A13" s="138"/>
      <c r="B13" s="30" t="s">
        <v>59</v>
      </c>
      <c r="C13" s="150">
        <v>118246</v>
      </c>
      <c r="D13" s="150">
        <v>116919</v>
      </c>
      <c r="E13" s="150">
        <v>117745</v>
      </c>
      <c r="F13" s="150">
        <v>137390</v>
      </c>
      <c r="G13" s="150">
        <v>490300</v>
      </c>
      <c r="H13" s="136"/>
      <c r="I13" s="150">
        <v>134517</v>
      </c>
      <c r="J13" s="150">
        <v>139580</v>
      </c>
      <c r="K13" s="150">
        <v>148775</v>
      </c>
      <c r="L13" s="168">
        <v>158123</v>
      </c>
      <c r="M13" s="150">
        <v>580995</v>
      </c>
      <c r="N13" s="136"/>
      <c r="O13" s="150">
        <v>160160</v>
      </c>
      <c r="P13" s="150">
        <v>162138</v>
      </c>
    </row>
    <row r="14" spans="1:16">
      <c r="A14" s="142"/>
      <c r="B14" s="143" t="s">
        <v>60</v>
      </c>
      <c r="C14" s="144">
        <v>59096</v>
      </c>
      <c r="D14" s="144">
        <v>58478</v>
      </c>
      <c r="E14" s="151">
        <v>61363</v>
      </c>
      <c r="F14" s="151">
        <v>76854</v>
      </c>
      <c r="G14" s="151">
        <v>255791</v>
      </c>
      <c r="H14" s="136"/>
      <c r="I14" s="151">
        <v>71531</v>
      </c>
      <c r="J14" s="151">
        <v>70932</v>
      </c>
      <c r="K14" s="151">
        <v>73954</v>
      </c>
      <c r="L14" s="167">
        <v>89781</v>
      </c>
      <c r="M14" s="151">
        <v>306198</v>
      </c>
      <c r="N14" s="136"/>
      <c r="O14" s="151">
        <v>76821</v>
      </c>
      <c r="P14" s="151">
        <v>77508</v>
      </c>
    </row>
    <row r="15" spans="1:16">
      <c r="A15" s="138"/>
      <c r="B15" s="30" t="s">
        <v>82</v>
      </c>
      <c r="C15" s="150">
        <v>36416</v>
      </c>
      <c r="D15" s="150">
        <v>37721</v>
      </c>
      <c r="E15" s="150">
        <v>39001</v>
      </c>
      <c r="F15" s="150">
        <v>41245</v>
      </c>
      <c r="G15" s="150">
        <v>154383</v>
      </c>
      <c r="H15" s="136"/>
      <c r="I15" s="150">
        <v>42554</v>
      </c>
      <c r="J15" s="150">
        <v>44637</v>
      </c>
      <c r="K15" s="150">
        <v>47418</v>
      </c>
      <c r="L15" s="168">
        <v>52666</v>
      </c>
      <c r="M15" s="150">
        <v>187275</v>
      </c>
      <c r="N15" s="136"/>
      <c r="O15" s="150">
        <v>53653</v>
      </c>
      <c r="P15" s="150">
        <v>57152</v>
      </c>
    </row>
    <row r="16" spans="1:16">
      <c r="A16" s="137"/>
      <c r="B16" s="141" t="s">
        <v>61</v>
      </c>
      <c r="C16" s="151">
        <v>47244</v>
      </c>
      <c r="D16" s="151">
        <v>48196</v>
      </c>
      <c r="E16" s="151">
        <v>48200</v>
      </c>
      <c r="F16" s="151">
        <v>53040</v>
      </c>
      <c r="G16" s="151">
        <v>196680</v>
      </c>
      <c r="H16" s="136"/>
      <c r="I16" s="151">
        <v>54562</v>
      </c>
      <c r="J16" s="151">
        <v>56867</v>
      </c>
      <c r="K16" s="151">
        <v>56576</v>
      </c>
      <c r="L16" s="167">
        <v>59906</v>
      </c>
      <c r="M16" s="151">
        <v>227911</v>
      </c>
      <c r="N16" s="136"/>
      <c r="O16" s="151">
        <v>59645</v>
      </c>
      <c r="P16" s="151">
        <v>61217</v>
      </c>
    </row>
    <row r="17" spans="1:16">
      <c r="A17" s="138"/>
      <c r="B17" s="30" t="s">
        <v>49</v>
      </c>
      <c r="C17" s="150">
        <v>14951</v>
      </c>
      <c r="D17" s="150">
        <v>15675</v>
      </c>
      <c r="E17" s="150">
        <v>15547</v>
      </c>
      <c r="F17" s="150">
        <v>15211</v>
      </c>
      <c r="G17" s="150">
        <v>61384</v>
      </c>
      <c r="H17" s="136"/>
      <c r="I17" s="150">
        <v>16284</v>
      </c>
      <c r="J17" s="150">
        <v>19290</v>
      </c>
      <c r="K17" s="150">
        <v>18598</v>
      </c>
      <c r="L17" s="168">
        <v>17396</v>
      </c>
      <c r="M17" s="150">
        <v>71568</v>
      </c>
      <c r="N17" s="136"/>
      <c r="O17" s="150">
        <v>17767</v>
      </c>
      <c r="P17" s="150">
        <v>20091</v>
      </c>
    </row>
    <row r="18" spans="1:16">
      <c r="A18" s="171" t="s">
        <v>42</v>
      </c>
      <c r="B18" s="172"/>
      <c r="C18" s="173">
        <v>275953</v>
      </c>
      <c r="D18" s="173">
        <v>276989</v>
      </c>
      <c r="E18" s="173">
        <v>281856</v>
      </c>
      <c r="F18" s="173">
        <v>323740</v>
      </c>
      <c r="G18" s="173">
        <v>1158538</v>
      </c>
      <c r="H18" s="174"/>
      <c r="I18" s="175">
        <v>319448</v>
      </c>
      <c r="J18" s="175">
        <v>331306</v>
      </c>
      <c r="K18" s="175">
        <v>345321</v>
      </c>
      <c r="L18" s="176">
        <v>377872</v>
      </c>
      <c r="M18" s="173">
        <v>1373947</v>
      </c>
      <c r="N18" s="174"/>
      <c r="O18" s="175">
        <v>368046.30418310052</v>
      </c>
      <c r="P18" s="175">
        <v>378106</v>
      </c>
    </row>
  </sheetData>
  <sheetProtection password="C49C" sheet="1" objects="1" scenarios="1"/>
  <customSheetViews>
    <customSheetView guid="{EEE1B813-1284-496C-9108-7B6EBF1B66DA}" scale="85" showPageBreaks="1" showGridLines="0" fitToPage="1" printArea="1" hiddenColumns="1">
      <pane xSplit="13" ySplit="11" topLeftCell="O12" activePane="bottomRight" state="frozen"/>
      <selection pane="bottomRight" activeCell="O19" sqref="O19"/>
      <pageMargins left="0.32" right="0.23" top="0.32" bottom="0.34" header="0.28000000000000003" footer="0.5"/>
      <pageSetup scale="60" orientation="portrait" r:id="rId1"/>
      <headerFooter alignWithMargins="0"/>
    </customSheetView>
    <customSheetView guid="{34E70CD2-0BD1-4D7B-8D7E-D37453914C37}" scale="85" showGridLines="0" fitToPage="1" hiddenColumns="1">
      <pane xSplit="2" ySplit="11" topLeftCell="C57" activePane="bottomRight" state="frozen"/>
      <selection pane="bottomRight" activeCell="X80" sqref="X80"/>
      <pageMargins left="0.32" right="0.23" top="0.32" bottom="0.34" header="0.28000000000000003" footer="0.5"/>
      <pageSetup scale="60" orientation="portrait" r:id="rId2"/>
      <headerFooter alignWithMargins="0"/>
    </customSheetView>
    <customSheetView guid="{AED9D8D2-9EC8-44D4-BB97-5CCE0677B94B}" scale="85" showPageBreaks="1" showGridLines="0" fitToPage="1" printArea="1" hiddenColumns="1">
      <pane xSplit="13" ySplit="11" topLeftCell="O12" activePane="bottomRight" state="frozen"/>
      <selection pane="bottomRight" activeCell="O12" sqref="O12"/>
      <pageMargins left="0.32" right="0.23" top="0.32" bottom="0.34" header="0.28000000000000003" footer="0.5"/>
      <pageSetup scale="55" orientation="portrait" r:id="rId3"/>
      <headerFooter alignWithMargins="0"/>
    </customSheetView>
  </customSheetViews>
  <mergeCells count="3">
    <mergeCell ref="C10:F10"/>
    <mergeCell ref="I10:L10"/>
    <mergeCell ref="O10:P10"/>
  </mergeCells>
  <phoneticPr fontId="5" type="noConversion"/>
  <printOptions horizontalCentered="1"/>
  <pageMargins left="0.32" right="0.23" top="0.32" bottom="0.34" header="0.28000000000000003" footer="0.5"/>
  <pageSetup scale="65" orientation="landscape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Y103"/>
  <sheetViews>
    <sheetView zoomScale="85" workbookViewId="0">
      <pane xSplit="19" ySplit="7" topLeftCell="AH8" activePane="bottomRight" state="frozen"/>
      <selection pane="topRight" activeCell="T1" sqref="T1"/>
      <selection pane="bottomLeft" activeCell="A8" sqref="A8"/>
      <selection pane="bottomRight" activeCell="AW18" sqref="AW18"/>
    </sheetView>
  </sheetViews>
  <sheetFormatPr defaultRowHeight="12.75" outlineLevelCol="1"/>
  <cols>
    <col min="1" max="1" width="3.140625" customWidth="1"/>
    <col min="2" max="2" width="48.85546875" customWidth="1"/>
    <col min="3" max="7" width="12.28515625" hidden="1" customWidth="1" outlineLevel="1"/>
    <col min="8" max="8" width="1" hidden="1" customWidth="1" outlineLevel="1"/>
    <col min="9" max="13" width="12.28515625" hidden="1" customWidth="1" outlineLevel="1"/>
    <col min="14" max="14" width="1.28515625" hidden="1" customWidth="1" outlineLevel="1"/>
    <col min="15" max="15" width="11.5703125" hidden="1" customWidth="1" outlineLevel="1"/>
    <col min="16" max="18" width="10.7109375" hidden="1" customWidth="1" outlineLevel="1"/>
    <col min="19" max="19" width="12.42578125" hidden="1" customWidth="1" outlineLevel="1"/>
    <col min="20" max="20" width="1.140625" customWidth="1" collapsed="1"/>
    <col min="21" max="24" width="10.7109375" customWidth="1"/>
    <col min="25" max="25" width="10.85546875" customWidth="1"/>
    <col min="26" max="26" width="1.28515625" customWidth="1"/>
    <col min="27" max="31" width="11.42578125" customWidth="1"/>
    <col min="32" max="32" width="1" customWidth="1"/>
    <col min="33" max="33" width="11" customWidth="1"/>
    <col min="34" max="34" width="13.7109375" customWidth="1"/>
    <col min="35" max="35" width="13.5703125" customWidth="1"/>
    <col min="36" max="36" width="12.5703125" customWidth="1"/>
    <col min="37" max="37" width="12.28515625" customWidth="1"/>
    <col min="38" max="39" width="9.140625" hidden="1" customWidth="1"/>
    <col min="40" max="43" width="12.28515625" style="18" hidden="1" customWidth="1"/>
    <col min="44" max="44" width="11.42578125" hidden="1" customWidth="1"/>
    <col min="45" max="45" width="0.85546875" style="20" customWidth="1"/>
    <col min="46" max="47" width="11" style="114" customWidth="1"/>
    <col min="48" max="48" width="11" style="92" customWidth="1"/>
    <col min="49" max="49" width="9.5703125" bestFit="1" customWidth="1"/>
    <col min="50" max="51" width="13.85546875" bestFit="1" customWidth="1"/>
  </cols>
  <sheetData>
    <row r="1" spans="1:51">
      <c r="AA1" s="17"/>
      <c r="AC1" s="17"/>
      <c r="AD1" s="17"/>
      <c r="AG1" s="17"/>
      <c r="AT1" s="100"/>
      <c r="AU1" s="100"/>
      <c r="AV1" s="94"/>
    </row>
    <row r="2" spans="1:51">
      <c r="A2" s="1" t="s">
        <v>26</v>
      </c>
      <c r="W2" s="29"/>
      <c r="X2" s="29"/>
      <c r="AA2" s="29"/>
      <c r="AC2" s="29"/>
      <c r="AD2" s="29"/>
      <c r="AG2" s="29"/>
      <c r="AT2" s="57"/>
      <c r="AU2" s="57"/>
      <c r="AV2" s="95"/>
    </row>
    <row r="3" spans="1:51">
      <c r="A3" s="1" t="s">
        <v>69</v>
      </c>
      <c r="AK3" s="19"/>
      <c r="AL3" s="36"/>
      <c r="AN3"/>
      <c r="AO3"/>
      <c r="AP3"/>
      <c r="AQ3"/>
      <c r="AT3" s="101"/>
      <c r="AU3" s="101"/>
    </row>
    <row r="4" spans="1:51">
      <c r="A4" s="11" t="s">
        <v>79</v>
      </c>
      <c r="O4" s="64"/>
      <c r="P4" s="183" t="s">
        <v>62</v>
      </c>
      <c r="Q4" s="183"/>
      <c r="R4" s="183"/>
      <c r="S4" s="64"/>
      <c r="W4" s="29"/>
      <c r="AC4" s="29"/>
      <c r="AH4" s="36"/>
      <c r="AK4" s="19"/>
      <c r="AL4" s="36"/>
      <c r="AT4" s="101"/>
      <c r="AU4" s="101"/>
    </row>
    <row r="5" spans="1:51">
      <c r="A5" s="1" t="s">
        <v>36</v>
      </c>
      <c r="X5" s="48"/>
      <c r="AA5" s="56"/>
      <c r="AB5" s="48"/>
      <c r="AC5" s="56"/>
      <c r="AD5" s="1"/>
      <c r="AG5" s="189"/>
      <c r="AH5" s="189"/>
      <c r="AI5" s="189"/>
      <c r="AJ5" s="189"/>
      <c r="AK5" s="191"/>
      <c r="AS5" s="77"/>
      <c r="AT5" s="102"/>
      <c r="AU5" s="102"/>
      <c r="AV5" s="81" t="s">
        <v>50</v>
      </c>
    </row>
    <row r="6" spans="1:51">
      <c r="C6" s="184">
        <v>2004</v>
      </c>
      <c r="D6" s="185"/>
      <c r="E6" s="185"/>
      <c r="F6" s="186"/>
      <c r="G6" s="14">
        <v>2004</v>
      </c>
      <c r="I6" s="187">
        <v>2005</v>
      </c>
      <c r="J6" s="185"/>
      <c r="K6" s="185"/>
      <c r="L6" s="186"/>
      <c r="M6" s="16">
        <v>2005</v>
      </c>
      <c r="O6" s="188">
        <v>2006</v>
      </c>
      <c r="P6" s="185"/>
      <c r="Q6" s="185"/>
      <c r="R6" s="186"/>
      <c r="S6" s="27">
        <v>2006</v>
      </c>
      <c r="T6" s="40"/>
      <c r="U6" s="192">
        <v>2007</v>
      </c>
      <c r="V6" s="185"/>
      <c r="W6" s="185"/>
      <c r="X6" s="186"/>
      <c r="Y6" s="41">
        <v>2007</v>
      </c>
      <c r="AA6" s="184">
        <v>2008</v>
      </c>
      <c r="AB6" s="193"/>
      <c r="AC6" s="193"/>
      <c r="AD6" s="194"/>
      <c r="AE6" s="63">
        <v>2008</v>
      </c>
      <c r="AG6" s="190">
        <v>2009</v>
      </c>
      <c r="AH6" s="185"/>
      <c r="AI6" s="185"/>
      <c r="AJ6" s="186"/>
      <c r="AK6" s="71">
        <v>2009</v>
      </c>
      <c r="AS6" s="78"/>
      <c r="AT6" s="115" t="s">
        <v>74</v>
      </c>
      <c r="AU6" s="115" t="s">
        <v>74</v>
      </c>
      <c r="AV6" s="115" t="s">
        <v>74</v>
      </c>
      <c r="AX6" t="s">
        <v>73</v>
      </c>
    </row>
    <row r="7" spans="1:51">
      <c r="C7" s="2" t="s">
        <v>22</v>
      </c>
      <c r="D7" s="3" t="s">
        <v>23</v>
      </c>
      <c r="E7" s="3" t="s">
        <v>24</v>
      </c>
      <c r="F7" s="4" t="s">
        <v>25</v>
      </c>
      <c r="G7" s="15" t="s">
        <v>35</v>
      </c>
      <c r="I7" s="5" t="s">
        <v>22</v>
      </c>
      <c r="J7" s="6" t="s">
        <v>23</v>
      </c>
      <c r="K7" s="6" t="s">
        <v>24</v>
      </c>
      <c r="L7" s="7" t="s">
        <v>25</v>
      </c>
      <c r="M7" s="13" t="s">
        <v>35</v>
      </c>
      <c r="O7" s="8" t="s">
        <v>22</v>
      </c>
      <c r="P7" s="9" t="s">
        <v>23</v>
      </c>
      <c r="Q7" s="9" t="s">
        <v>24</v>
      </c>
      <c r="R7" s="10" t="s">
        <v>25</v>
      </c>
      <c r="S7" s="28" t="s">
        <v>35</v>
      </c>
      <c r="T7" s="40"/>
      <c r="U7" s="44" t="s">
        <v>22</v>
      </c>
      <c r="V7" s="45" t="s">
        <v>23</v>
      </c>
      <c r="W7" s="45" t="s">
        <v>24</v>
      </c>
      <c r="X7" s="46" t="s">
        <v>25</v>
      </c>
      <c r="Y7" s="42" t="s">
        <v>35</v>
      </c>
      <c r="AA7" s="2" t="s">
        <v>22</v>
      </c>
      <c r="AB7" s="3" t="s">
        <v>23</v>
      </c>
      <c r="AC7" s="3" t="s">
        <v>24</v>
      </c>
      <c r="AD7" s="4" t="s">
        <v>25</v>
      </c>
      <c r="AE7" s="4" t="s">
        <v>35</v>
      </c>
      <c r="AG7" s="69" t="s">
        <v>22</v>
      </c>
      <c r="AH7" s="76" t="s">
        <v>23</v>
      </c>
      <c r="AI7" s="76" t="s">
        <v>24</v>
      </c>
      <c r="AJ7" s="70" t="s">
        <v>25</v>
      </c>
      <c r="AK7" s="70" t="s">
        <v>35</v>
      </c>
      <c r="AO7" s="18" t="s">
        <v>70</v>
      </c>
      <c r="AP7" s="18" t="s">
        <v>71</v>
      </c>
      <c r="AS7" s="79"/>
      <c r="AT7" s="116" t="s">
        <v>22</v>
      </c>
      <c r="AU7" s="116" t="s">
        <v>23</v>
      </c>
      <c r="AV7" s="116" t="s">
        <v>24</v>
      </c>
      <c r="AW7" s="140" t="s">
        <v>80</v>
      </c>
    </row>
    <row r="8" spans="1:51">
      <c r="A8" t="s">
        <v>68</v>
      </c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O8" s="22"/>
      <c r="P8" s="22"/>
      <c r="Q8" s="22"/>
      <c r="R8" s="22"/>
      <c r="S8" s="24"/>
      <c r="T8" s="39"/>
      <c r="U8" s="39"/>
      <c r="V8" s="39"/>
      <c r="W8" s="39"/>
      <c r="X8" s="39"/>
      <c r="Y8" s="24"/>
      <c r="AA8" s="39"/>
      <c r="AB8" s="39"/>
      <c r="AC8" s="39"/>
      <c r="AD8" s="39"/>
      <c r="AE8" s="24"/>
      <c r="AG8" s="68"/>
      <c r="AH8" s="36"/>
      <c r="AI8" s="36"/>
      <c r="AJ8" s="36"/>
      <c r="AK8" s="36"/>
      <c r="AS8" s="50"/>
      <c r="AT8" s="103"/>
      <c r="AU8" s="103"/>
      <c r="AV8" s="96"/>
    </row>
    <row r="9" spans="1:51">
      <c r="B9" t="s">
        <v>59</v>
      </c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O9" s="22"/>
      <c r="P9" s="22"/>
      <c r="Q9" s="22"/>
      <c r="R9" s="22"/>
      <c r="S9" s="24">
        <v>184071.36088509997</v>
      </c>
      <c r="T9" s="39"/>
      <c r="U9" s="39">
        <v>63081</v>
      </c>
      <c r="V9" s="39">
        <v>72574</v>
      </c>
      <c r="W9" s="39">
        <v>76066</v>
      </c>
      <c r="X9" s="39">
        <v>87167</v>
      </c>
      <c r="Y9" s="24">
        <v>298888</v>
      </c>
      <c r="AA9" s="39">
        <v>87477</v>
      </c>
      <c r="AB9" s="39">
        <v>90733</v>
      </c>
      <c r="AC9" s="66">
        <v>96687</v>
      </c>
      <c r="AD9" s="39">
        <v>95142</v>
      </c>
      <c r="AE9" s="24">
        <v>370039</v>
      </c>
      <c r="AG9" s="39">
        <v>94194</v>
      </c>
      <c r="AH9" s="39">
        <v>86750</v>
      </c>
      <c r="AI9" s="39">
        <v>89265</v>
      </c>
      <c r="AJ9" s="39">
        <v>98597</v>
      </c>
      <c r="AK9" s="19">
        <f t="shared" ref="AK9:AK16" si="0">SUM(AG9:AJ9)</f>
        <v>368806</v>
      </c>
      <c r="AO9" s="36">
        <f>AG9/AA9-1</f>
        <v>7.6785898007476261E-2</v>
      </c>
      <c r="AP9" s="36">
        <f>AG9/AD9-1</f>
        <v>-9.9640537302138066E-3</v>
      </c>
      <c r="AS9" s="39"/>
      <c r="AT9" s="104">
        <v>103144</v>
      </c>
      <c r="AU9" s="104"/>
      <c r="AV9" s="82">
        <v>103500</v>
      </c>
      <c r="AW9" s="60"/>
      <c r="AX9" s="36"/>
    </row>
    <row r="10" spans="1:51">
      <c r="B10" t="s">
        <v>60</v>
      </c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O10" s="22"/>
      <c r="P10" s="22"/>
      <c r="Q10" s="22"/>
      <c r="R10" s="22"/>
      <c r="S10" s="24">
        <v>114298.22412840002</v>
      </c>
      <c r="T10" s="39"/>
      <c r="U10" s="39">
        <v>33889</v>
      </c>
      <c r="V10" s="39">
        <v>34525</v>
      </c>
      <c r="W10" s="39">
        <v>38706</v>
      </c>
      <c r="X10" s="39">
        <v>48180</v>
      </c>
      <c r="Y10" s="24">
        <v>155300</v>
      </c>
      <c r="AA10" s="39">
        <v>48652</v>
      </c>
      <c r="AB10" s="39">
        <v>51460</v>
      </c>
      <c r="AC10" s="66">
        <v>53076</v>
      </c>
      <c r="AD10" s="39">
        <v>65683</v>
      </c>
      <c r="AE10" s="24">
        <v>218871</v>
      </c>
      <c r="AG10" s="39">
        <v>63265</v>
      </c>
      <c r="AH10" s="39">
        <v>64548</v>
      </c>
      <c r="AI10" s="39">
        <v>64723</v>
      </c>
      <c r="AJ10" s="39">
        <v>79656</v>
      </c>
      <c r="AK10" s="19">
        <f t="shared" si="0"/>
        <v>272192</v>
      </c>
      <c r="AO10" s="36">
        <f>AG10/AA10-1</f>
        <v>0.30035764202910475</v>
      </c>
      <c r="AP10" s="36">
        <f>AG10/AD10-1</f>
        <v>-3.681317844800025E-2</v>
      </c>
      <c r="AS10" s="39"/>
      <c r="AT10" s="104">
        <v>75467</v>
      </c>
      <c r="AU10" s="104"/>
      <c r="AV10" s="82">
        <v>76500</v>
      </c>
      <c r="AW10" s="60"/>
      <c r="AX10" s="36"/>
    </row>
    <row r="11" spans="1:51">
      <c r="B11" t="s">
        <v>61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O11" s="22"/>
      <c r="P11" s="22"/>
      <c r="Q11" s="22"/>
      <c r="R11" s="22"/>
      <c r="S11" s="24">
        <v>102031.70472750004</v>
      </c>
      <c r="T11" s="39"/>
      <c r="U11" s="39">
        <v>33315</v>
      </c>
      <c r="V11" s="39">
        <v>36191</v>
      </c>
      <c r="W11" s="39">
        <v>37968</v>
      </c>
      <c r="X11" s="39">
        <v>40447</v>
      </c>
      <c r="Y11" s="24">
        <v>147921</v>
      </c>
      <c r="AA11" s="39">
        <v>42773</v>
      </c>
      <c r="AB11" s="39">
        <v>43772</v>
      </c>
      <c r="AC11" s="66">
        <v>38509</v>
      </c>
      <c r="AD11" s="39">
        <v>43059</v>
      </c>
      <c r="AE11" s="24">
        <v>168113</v>
      </c>
      <c r="AG11" s="39">
        <v>42605</v>
      </c>
      <c r="AH11" s="39">
        <v>44208</v>
      </c>
      <c r="AI11" s="39">
        <v>41298</v>
      </c>
      <c r="AJ11" s="39">
        <v>48728</v>
      </c>
      <c r="AK11" s="19">
        <f t="shared" si="0"/>
        <v>176839</v>
      </c>
      <c r="AO11" s="36">
        <f>AG11/AA11-1</f>
        <v>-3.9277114067285401E-3</v>
      </c>
      <c r="AP11" s="36">
        <f>AG11/AD11-1</f>
        <v>-1.054367263522149E-2</v>
      </c>
      <c r="AS11" s="22"/>
      <c r="AT11" s="104">
        <v>48903</v>
      </c>
      <c r="AU11" s="104"/>
      <c r="AV11" s="82">
        <v>48500</v>
      </c>
      <c r="AW11" s="60"/>
      <c r="AX11" s="36"/>
    </row>
    <row r="12" spans="1:51">
      <c r="B12" t="s">
        <v>49</v>
      </c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O12" s="32"/>
      <c r="P12" s="32"/>
      <c r="Q12" s="32"/>
      <c r="R12" s="32"/>
      <c r="S12" s="51">
        <v>27654.971600000001</v>
      </c>
      <c r="T12" s="39"/>
      <c r="U12" s="51">
        <v>8989</v>
      </c>
      <c r="V12" s="51">
        <v>9364</v>
      </c>
      <c r="W12" s="51">
        <v>8500</v>
      </c>
      <c r="X12" s="51">
        <v>7444</v>
      </c>
      <c r="Y12" s="51">
        <v>34297</v>
      </c>
      <c r="Z12" s="37"/>
      <c r="AA12" s="51">
        <v>8117</v>
      </c>
      <c r="AB12" s="51">
        <v>8039</v>
      </c>
      <c r="AC12" s="67">
        <v>9075</v>
      </c>
      <c r="AD12" s="51">
        <v>8670</v>
      </c>
      <c r="AE12" s="51">
        <v>33901</v>
      </c>
      <c r="AG12" s="51">
        <v>10304</v>
      </c>
      <c r="AH12" s="51">
        <v>9094</v>
      </c>
      <c r="AI12" s="51">
        <v>11214</v>
      </c>
      <c r="AJ12" s="51">
        <v>11324</v>
      </c>
      <c r="AK12" s="65">
        <f t="shared" si="0"/>
        <v>41936</v>
      </c>
      <c r="AO12" s="36">
        <f>AG12/AA12-1</f>
        <v>0.26943452014291003</v>
      </c>
      <c r="AP12" s="36">
        <f>AG12/AD12-1</f>
        <v>0.18846597462514425</v>
      </c>
      <c r="AS12" s="22"/>
      <c r="AT12" s="125">
        <v>12515</v>
      </c>
      <c r="AU12" s="125"/>
      <c r="AV12" s="91">
        <v>13500</v>
      </c>
      <c r="AW12" s="60"/>
      <c r="AX12" s="36"/>
    </row>
    <row r="13" spans="1:51">
      <c r="A13" t="s">
        <v>42</v>
      </c>
      <c r="C13" s="18">
        <v>48367</v>
      </c>
      <c r="D13" s="18">
        <v>50786</v>
      </c>
      <c r="E13" s="18">
        <v>53286</v>
      </c>
      <c r="F13" s="18">
        <v>57576</v>
      </c>
      <c r="G13" s="18">
        <f>SUM(C13:F13)</f>
        <v>210015</v>
      </c>
      <c r="H13" s="19"/>
      <c r="I13" s="18">
        <v>60096</v>
      </c>
      <c r="J13" s="18">
        <v>64649</v>
      </c>
      <c r="K13" s="18">
        <v>75713</v>
      </c>
      <c r="L13" s="18">
        <f>82838-181</f>
        <v>82657</v>
      </c>
      <c r="M13" s="18">
        <f>SUM(I13:L13)</f>
        <v>283115</v>
      </c>
      <c r="O13" s="18">
        <v>90825</v>
      </c>
      <c r="P13" s="18">
        <v>100649</v>
      </c>
      <c r="Q13" s="22">
        <v>111495</v>
      </c>
      <c r="R13" s="22">
        <v>125703</v>
      </c>
      <c r="S13" s="24">
        <f>SUM(O13:R13)</f>
        <v>428672</v>
      </c>
      <c r="T13" s="39"/>
      <c r="U13" s="39">
        <v>139274</v>
      </c>
      <c r="V13" s="39">
        <v>152654</v>
      </c>
      <c r="W13" s="39">
        <v>161240</v>
      </c>
      <c r="X13" s="39">
        <v>183238</v>
      </c>
      <c r="Y13" s="24">
        <f>SUM(U13:X13)</f>
        <v>636406</v>
      </c>
      <c r="AA13" s="39">
        <v>187019</v>
      </c>
      <c r="AB13" s="39">
        <f>SUM(AB9:AB12)</f>
        <v>194004</v>
      </c>
      <c r="AC13" s="39">
        <v>197347</v>
      </c>
      <c r="AD13" s="39">
        <f>SUM(AD9:AD12)</f>
        <v>212554</v>
      </c>
      <c r="AE13" s="39">
        <f>SUM(AE9:AE12)</f>
        <v>790924</v>
      </c>
      <c r="AG13" s="39">
        <v>210368</v>
      </c>
      <c r="AH13" s="39">
        <v>204600</v>
      </c>
      <c r="AI13" s="39" t="e">
        <f>+#REF!</f>
        <v>#REF!</v>
      </c>
      <c r="AJ13" s="39">
        <v>238305</v>
      </c>
      <c r="AK13" s="19" t="e">
        <f t="shared" si="0"/>
        <v>#REF!</v>
      </c>
      <c r="AO13" s="36">
        <f>AG13/AA13-1</f>
        <v>0.12484827744774596</v>
      </c>
      <c r="AP13" s="36">
        <f>AG13/AD13-1</f>
        <v>-1.0284445364472039E-2</v>
      </c>
      <c r="AS13" s="22"/>
      <c r="AT13" s="104">
        <v>240029</v>
      </c>
      <c r="AU13" s="104">
        <f>SUM(AU9:AU12)</f>
        <v>0</v>
      </c>
      <c r="AV13" s="82">
        <f>SUM(AV9:AV12)</f>
        <v>242000</v>
      </c>
      <c r="AW13" s="19"/>
      <c r="AX13" s="29">
        <v>2300000</v>
      </c>
      <c r="AY13" s="29" t="e">
        <f>AX13+AE13+SUM(AG13:AI13)</f>
        <v>#REF!</v>
      </c>
    </row>
    <row r="14" spans="1:51">
      <c r="B14" t="s">
        <v>28</v>
      </c>
      <c r="C14" s="18">
        <v>7693</v>
      </c>
      <c r="D14" s="18">
        <v>7357</v>
      </c>
      <c r="E14" s="18">
        <v>8624</v>
      </c>
      <c r="F14" s="18">
        <v>8442</v>
      </c>
      <c r="G14" s="18">
        <v>32116</v>
      </c>
      <c r="I14" s="18">
        <v>8609</v>
      </c>
      <c r="J14" s="18">
        <v>9280</v>
      </c>
      <c r="K14" s="18">
        <v>10934</v>
      </c>
      <c r="L14" s="18">
        <v>11318</v>
      </c>
      <c r="M14" s="18">
        <v>40141</v>
      </c>
      <c r="O14" s="18">
        <v>13681</v>
      </c>
      <c r="P14" s="18">
        <v>14457</v>
      </c>
      <c r="Q14" s="22">
        <v>17194</v>
      </c>
      <c r="R14" s="22">
        <v>19700</v>
      </c>
      <c r="S14" s="24">
        <f>SUM(O14:R14)</f>
        <v>65032</v>
      </c>
      <c r="T14" s="24"/>
      <c r="U14" s="24">
        <v>23375</v>
      </c>
      <c r="V14" s="24">
        <v>26234</v>
      </c>
      <c r="W14" s="24">
        <v>28787</v>
      </c>
      <c r="X14" s="24">
        <v>33575</v>
      </c>
      <c r="Y14" s="24">
        <f>SUM(U14:X14)</f>
        <v>111971</v>
      </c>
      <c r="AA14" s="24">
        <v>34749</v>
      </c>
      <c r="AB14" s="24">
        <v>35356</v>
      </c>
      <c r="AC14" s="24">
        <v>37562</v>
      </c>
      <c r="AD14" s="24">
        <v>39889</v>
      </c>
      <c r="AE14" s="24">
        <f>SUM(AA14:AD14)</f>
        <v>147556</v>
      </c>
      <c r="AG14" s="59">
        <v>39080</v>
      </c>
      <c r="AH14" s="24">
        <v>37916</v>
      </c>
      <c r="AI14" s="24">
        <v>37928</v>
      </c>
      <c r="AJ14" s="24">
        <v>42379</v>
      </c>
      <c r="AK14" s="19">
        <f t="shared" si="0"/>
        <v>157303</v>
      </c>
      <c r="AL14" t="s">
        <v>52</v>
      </c>
      <c r="AN14" s="22">
        <v>15868.241836672876</v>
      </c>
      <c r="AO14" s="22">
        <v>17431.196967355849</v>
      </c>
      <c r="AP14" s="22">
        <v>18774.51060483907</v>
      </c>
      <c r="AQ14" s="22">
        <v>20414.62824852065</v>
      </c>
      <c r="AS14" s="22"/>
      <c r="AT14" s="104">
        <v>41843</v>
      </c>
      <c r="AU14" s="104"/>
      <c r="AV14" s="90" t="e">
        <f>(#REF!+#REF!)</f>
        <v>#REF!</v>
      </c>
    </row>
    <row r="15" spans="1:51">
      <c r="B15" t="s">
        <v>15</v>
      </c>
      <c r="C15" s="18">
        <f>4519-69</f>
        <v>4450</v>
      </c>
      <c r="D15" s="18">
        <f>3793-68</f>
        <v>3725</v>
      </c>
      <c r="E15" s="18">
        <v>3124</v>
      </c>
      <c r="F15" s="18">
        <v>2731</v>
      </c>
      <c r="G15" s="18">
        <f>SUM(C15:F15)</f>
        <v>14030</v>
      </c>
      <c r="H15" s="19"/>
      <c r="I15" s="18">
        <v>2915</v>
      </c>
      <c r="J15" s="18">
        <v>3472</v>
      </c>
      <c r="K15" s="18">
        <v>4361</v>
      </c>
      <c r="L15" s="18">
        <v>4766</v>
      </c>
      <c r="M15" s="18">
        <f>SUM(I15:L15)</f>
        <v>15514</v>
      </c>
      <c r="O15" s="18">
        <f>6+5356</f>
        <v>5362</v>
      </c>
      <c r="P15" s="22">
        <f>6178+27</f>
        <v>6205</v>
      </c>
      <c r="Q15" s="22">
        <f>7144+129</f>
        <v>7273</v>
      </c>
      <c r="R15" s="22">
        <f>8132+136</f>
        <v>8268</v>
      </c>
      <c r="S15" s="24">
        <f>SUM(O15:R15)</f>
        <v>27108</v>
      </c>
      <c r="T15" s="24"/>
      <c r="U15" s="24">
        <f>10178+188</f>
        <v>10366</v>
      </c>
      <c r="V15" s="24">
        <f>12277+401</f>
        <v>12678</v>
      </c>
      <c r="W15" s="24">
        <f>13591+537</f>
        <v>14128</v>
      </c>
      <c r="X15" s="24">
        <f>14249+703</f>
        <v>14952</v>
      </c>
      <c r="Y15" s="24">
        <f>SUM(U15:X15)</f>
        <v>52124</v>
      </c>
      <c r="AA15" s="24">
        <v>16260</v>
      </c>
      <c r="AB15" s="24">
        <v>17733</v>
      </c>
      <c r="AC15" s="24">
        <v>18483</v>
      </c>
      <c r="AD15" s="24">
        <v>20163</v>
      </c>
      <c r="AE15" s="24">
        <f>SUM(AA15:AD15)</f>
        <v>72639</v>
      </c>
      <c r="AF15" s="50"/>
      <c r="AG15" s="59">
        <f>19414+1307</f>
        <v>20721</v>
      </c>
      <c r="AH15" s="24">
        <f>20143+1461</f>
        <v>21604</v>
      </c>
      <c r="AI15" s="24">
        <v>23527</v>
      </c>
      <c r="AJ15" s="24">
        <v>24588</v>
      </c>
      <c r="AK15" s="19">
        <f t="shared" si="0"/>
        <v>90440</v>
      </c>
      <c r="AL15" t="s">
        <v>51</v>
      </c>
      <c r="AN15" s="18">
        <v>850</v>
      </c>
      <c r="AO15" s="18">
        <v>1000</v>
      </c>
      <c r="AP15" s="18">
        <v>1150</v>
      </c>
      <c r="AQ15" s="18">
        <v>1300</v>
      </c>
      <c r="AS15" s="22"/>
      <c r="AT15" s="105">
        <v>24930</v>
      </c>
      <c r="AU15" s="105"/>
      <c r="AV15" s="90" t="e">
        <f>#REF!+#REF!+#REF!</f>
        <v>#REF!</v>
      </c>
    </row>
    <row r="16" spans="1:51">
      <c r="B16" t="s">
        <v>45</v>
      </c>
      <c r="C16" s="18">
        <v>3</v>
      </c>
      <c r="D16" s="18">
        <v>1</v>
      </c>
      <c r="E16" s="18">
        <v>0</v>
      </c>
      <c r="F16" s="18">
        <v>0</v>
      </c>
      <c r="G16" s="18">
        <f>SUM(C16:F16)</f>
        <v>4</v>
      </c>
      <c r="H16" s="19"/>
      <c r="I16" s="18">
        <v>0</v>
      </c>
      <c r="J16" s="18">
        <v>0</v>
      </c>
      <c r="K16" s="18">
        <v>0</v>
      </c>
      <c r="L16" s="18">
        <v>0</v>
      </c>
      <c r="M16" s="18">
        <f>SUM(I16:L16)</f>
        <v>0</v>
      </c>
      <c r="O16" s="18">
        <v>273</v>
      </c>
      <c r="P16" s="18">
        <v>533</v>
      </c>
      <c r="Q16" s="22">
        <v>517</v>
      </c>
      <c r="R16" s="22">
        <v>637</v>
      </c>
      <c r="S16" s="24">
        <f>SUM(O16:R16)</f>
        <v>1960</v>
      </c>
      <c r="T16" s="24"/>
      <c r="U16" s="24">
        <v>739</v>
      </c>
      <c r="V16" s="24">
        <v>847</v>
      </c>
      <c r="W16" s="24">
        <v>896</v>
      </c>
      <c r="X16" s="24">
        <v>867</v>
      </c>
      <c r="Y16" s="24">
        <f>SUM(U16:X16)</f>
        <v>3349</v>
      </c>
      <c r="AA16" s="24">
        <v>566</v>
      </c>
      <c r="AB16" s="59">
        <v>599</v>
      </c>
      <c r="AC16" s="24">
        <v>614</v>
      </c>
      <c r="AD16" s="24">
        <v>636</v>
      </c>
      <c r="AE16" s="24">
        <f>SUM(AA16:AD16)</f>
        <v>2415</v>
      </c>
      <c r="AG16" s="59">
        <v>561</v>
      </c>
      <c r="AH16" s="75">
        <v>489</v>
      </c>
      <c r="AI16" s="24">
        <v>532</v>
      </c>
      <c r="AJ16" s="24">
        <v>613</v>
      </c>
      <c r="AK16" s="19">
        <f t="shared" si="0"/>
        <v>2195</v>
      </c>
      <c r="AN16" s="18">
        <f>SUM(AN14:AN15)</f>
        <v>16718.241836672874</v>
      </c>
      <c r="AO16" s="18">
        <f>SUM(AO14:AO15)</f>
        <v>18431.196967355849</v>
      </c>
      <c r="AP16" s="18">
        <f>SUM(AP14:AP15)</f>
        <v>19924.51060483907</v>
      </c>
      <c r="AQ16" s="18">
        <f>SUM(AQ14:AQ15)</f>
        <v>21714.62824852065</v>
      </c>
      <c r="AS16" s="22"/>
      <c r="AT16" s="104">
        <v>701</v>
      </c>
      <c r="AU16" s="104"/>
      <c r="AV16" s="90" t="e">
        <f>$AV$64*AT16/$AT$64</f>
        <v>#REF!</v>
      </c>
    </row>
    <row r="17" spans="1:48">
      <c r="A17" t="s">
        <v>0</v>
      </c>
      <c r="B17" s="20"/>
      <c r="C17" s="31">
        <f>SUM(C14:C16)</f>
        <v>12146</v>
      </c>
      <c r="D17" s="31">
        <f>SUM(D14:D16)</f>
        <v>11083</v>
      </c>
      <c r="E17" s="31">
        <f>SUM(E14:E16)</f>
        <v>11748</v>
      </c>
      <c r="F17" s="31">
        <f>SUM(F14:F16)</f>
        <v>11173</v>
      </c>
      <c r="G17" s="31">
        <f>SUM(G14:G16)</f>
        <v>46150</v>
      </c>
      <c r="H17" s="19"/>
      <c r="I17" s="31">
        <f>SUM(I14:I16)</f>
        <v>11524</v>
      </c>
      <c r="J17" s="31">
        <f>SUM(J14:J16)</f>
        <v>12752</v>
      </c>
      <c r="K17" s="31">
        <f>SUM(K14:K16)</f>
        <v>15295</v>
      </c>
      <c r="L17" s="31">
        <f>SUM(L14:L16)</f>
        <v>16084</v>
      </c>
      <c r="M17" s="31">
        <f>SUM(M14:M16)</f>
        <v>55655</v>
      </c>
      <c r="O17" s="31">
        <f>SUM(O14:O16)</f>
        <v>19316</v>
      </c>
      <c r="P17" s="32">
        <f>SUM(P14:P16)</f>
        <v>21195</v>
      </c>
      <c r="Q17" s="32">
        <f>SUM(Q14:Q16)</f>
        <v>24984</v>
      </c>
      <c r="R17" s="32">
        <f>SUM(R14:R16)</f>
        <v>28605</v>
      </c>
      <c r="S17" s="32">
        <f>SUM(S14:S16)</f>
        <v>94100</v>
      </c>
      <c r="T17" s="38"/>
      <c r="U17" s="32">
        <f>SUM(U14:U16)</f>
        <v>34480</v>
      </c>
      <c r="V17" s="32">
        <f>SUM(V14:V16)</f>
        <v>39759</v>
      </c>
      <c r="W17" s="32">
        <f>SUM(W14:W16)</f>
        <v>43811</v>
      </c>
      <c r="X17" s="32">
        <f>SUM(X14:X16)</f>
        <v>49394</v>
      </c>
      <c r="Y17" s="32">
        <f>SUM(Y14:Y16)</f>
        <v>167444</v>
      </c>
      <c r="AA17" s="32">
        <f>SUM(AA14:AA16)</f>
        <v>51575</v>
      </c>
      <c r="AB17" s="32">
        <f>SUM(AB14:AB16)</f>
        <v>53688</v>
      </c>
      <c r="AC17" s="32">
        <f>SUM(AC14:AC16)</f>
        <v>56659</v>
      </c>
      <c r="AD17" s="32">
        <f>SUM(AD14:AD16)</f>
        <v>60688</v>
      </c>
      <c r="AE17" s="32">
        <f>SUM(AE14:AE16)</f>
        <v>222610</v>
      </c>
      <c r="AG17" s="72">
        <f>SUM(AG14:AG16)</f>
        <v>60362</v>
      </c>
      <c r="AH17" s="32">
        <f>SUM(AH14:AH16)</f>
        <v>60009</v>
      </c>
      <c r="AI17" s="32">
        <f>SUM(AI14:AI16)</f>
        <v>61987</v>
      </c>
      <c r="AJ17" s="32">
        <f>SUM(AJ14:AJ16)</f>
        <v>67580</v>
      </c>
      <c r="AK17" s="32">
        <f>SUM(AK14:AK16)</f>
        <v>249938</v>
      </c>
      <c r="AS17" s="22"/>
      <c r="AT17" s="32">
        <f>SUM(AT14:AT16)</f>
        <v>67474</v>
      </c>
      <c r="AU17" s="32">
        <f>SUM(AU14:AU16)</f>
        <v>0</v>
      </c>
      <c r="AV17" s="86" t="e">
        <f>SUM(AV14:AV16)</f>
        <v>#REF!</v>
      </c>
    </row>
    <row r="18" spans="1:48">
      <c r="B18" t="s">
        <v>29</v>
      </c>
      <c r="C18" s="18">
        <f>C13-C14</f>
        <v>40674</v>
      </c>
      <c r="D18" s="18">
        <f>D13-D14</f>
        <v>43429</v>
      </c>
      <c r="E18" s="18">
        <f>E13-E14</f>
        <v>44662</v>
      </c>
      <c r="F18" s="18">
        <f>F13-F14</f>
        <v>49134</v>
      </c>
      <c r="G18" s="18">
        <f>G13-G14</f>
        <v>177899</v>
      </c>
      <c r="H18" s="19"/>
      <c r="I18" s="18">
        <f>I13-I14</f>
        <v>51487</v>
      </c>
      <c r="J18" s="18">
        <f>J13-J14</f>
        <v>55369</v>
      </c>
      <c r="K18" s="18">
        <f>K13-K14</f>
        <v>64779</v>
      </c>
      <c r="L18" s="18">
        <f>L13-L14</f>
        <v>71339</v>
      </c>
      <c r="M18" s="18">
        <f>M13-M14</f>
        <v>242974</v>
      </c>
      <c r="O18" s="18">
        <f>O13-O14</f>
        <v>77144</v>
      </c>
      <c r="P18" s="18">
        <f>P13-P14</f>
        <v>86192</v>
      </c>
      <c r="Q18" s="22">
        <f>Q13-Q14</f>
        <v>94301</v>
      </c>
      <c r="R18" s="22">
        <f>R13-R14</f>
        <v>106003</v>
      </c>
      <c r="S18" s="22">
        <f>S13-S14</f>
        <v>363640</v>
      </c>
      <c r="T18" s="22"/>
      <c r="U18" s="22">
        <f>U13-U14</f>
        <v>115899</v>
      </c>
      <c r="V18" s="22">
        <f>V13-V14</f>
        <v>126420</v>
      </c>
      <c r="W18" s="22">
        <f>W13-W14</f>
        <v>132453</v>
      </c>
      <c r="X18" s="22">
        <f>X13-X14</f>
        <v>149663</v>
      </c>
      <c r="Y18" s="22">
        <f>Y13-Y14</f>
        <v>524435</v>
      </c>
      <c r="Z18" s="19"/>
      <c r="AA18" s="22">
        <f>AA13-AA14</f>
        <v>152270</v>
      </c>
      <c r="AB18" s="22">
        <f>AB13-AB14</f>
        <v>158648</v>
      </c>
      <c r="AC18" s="22">
        <f>AC13-AC14</f>
        <v>159785</v>
      </c>
      <c r="AD18" s="22">
        <f>AD13-AD14</f>
        <v>172665</v>
      </c>
      <c r="AE18" s="22">
        <f>AE13-AE14</f>
        <v>643368</v>
      </c>
      <c r="AG18" s="54">
        <f>AG13-AG14</f>
        <v>171288</v>
      </c>
      <c r="AH18" s="22">
        <f>AH13-AH14</f>
        <v>166684</v>
      </c>
      <c r="AI18" s="22" t="e">
        <f>AI13-AI14</f>
        <v>#REF!</v>
      </c>
      <c r="AJ18" s="22">
        <f>AJ13-AJ14</f>
        <v>195926</v>
      </c>
      <c r="AK18" s="22" t="e">
        <f>AK13-AK14</f>
        <v>#REF!</v>
      </c>
      <c r="AS18" s="22"/>
      <c r="AT18" s="22">
        <f>AT13-AT14</f>
        <v>198186</v>
      </c>
      <c r="AU18" s="22">
        <f>AU13-AU14</f>
        <v>0</v>
      </c>
      <c r="AV18" s="84" t="e">
        <f>AV13-AV14</f>
        <v>#REF!</v>
      </c>
    </row>
    <row r="19" spans="1:48" s="25" customFormat="1">
      <c r="B19" s="25" t="s">
        <v>30</v>
      </c>
      <c r="C19" s="26">
        <f>C18/C13</f>
        <v>0.84094527260322116</v>
      </c>
      <c r="D19" s="26">
        <f>D18/D13</f>
        <v>0.85513724254715862</v>
      </c>
      <c r="E19" s="26">
        <f>E18/E13</f>
        <v>0.83815636377284841</v>
      </c>
      <c r="F19" s="26">
        <f>F18/F13</f>
        <v>0.85337640683618177</v>
      </c>
      <c r="G19" s="26">
        <f>G18/G13</f>
        <v>0.84707758969597413</v>
      </c>
      <c r="I19" s="26">
        <f>I18/I13</f>
        <v>0.85674587326943552</v>
      </c>
      <c r="J19" s="26">
        <f>J18/J13</f>
        <v>0.85645562963077537</v>
      </c>
      <c r="K19" s="26">
        <f>K18/K13</f>
        <v>0.85558622693592912</v>
      </c>
      <c r="L19" s="26">
        <f>L18/L13</f>
        <v>0.86307269801710684</v>
      </c>
      <c r="M19" s="26">
        <f>M18/M13</f>
        <v>0.85821662575278601</v>
      </c>
      <c r="O19" s="26">
        <f>O18/O13</f>
        <v>0.84936966694192129</v>
      </c>
      <c r="P19" s="26">
        <f>P18/P13</f>
        <v>0.85636220926189033</v>
      </c>
      <c r="Q19" s="33">
        <f>Q18/Q13</f>
        <v>0.84578680658325489</v>
      </c>
      <c r="R19" s="33">
        <f>R18/R13</f>
        <v>0.84328138548801546</v>
      </c>
      <c r="S19" s="33">
        <f>S18/S13</f>
        <v>0.84829426694535681</v>
      </c>
      <c r="T19" s="33"/>
      <c r="U19" s="47">
        <f>ROUND(U18/U13,2)</f>
        <v>0.83</v>
      </c>
      <c r="V19" s="47">
        <f>ROUND(V18/V13,2)</f>
        <v>0.83</v>
      </c>
      <c r="W19" s="47">
        <f>ROUND(W18/W13,2)</f>
        <v>0.82</v>
      </c>
      <c r="X19" s="47">
        <f>ROUND(X18/X13,2)</f>
        <v>0.82</v>
      </c>
      <c r="Y19" s="47">
        <f>ROUND(Y18/Y13,2)</f>
        <v>0.82</v>
      </c>
      <c r="AA19" s="47">
        <f>ROUND(AA18/AA13,2)</f>
        <v>0.81</v>
      </c>
      <c r="AB19" s="47">
        <f>ROUND(AB18/AB13,2)</f>
        <v>0.82</v>
      </c>
      <c r="AC19" s="47">
        <f>ROUND(AC18/AC13,2)</f>
        <v>0.81</v>
      </c>
      <c r="AD19" s="47">
        <f>ROUND(AD18/AD13,2)</f>
        <v>0.81</v>
      </c>
      <c r="AE19" s="47">
        <f>ROUND(AE18/AE13,2)</f>
        <v>0.81</v>
      </c>
      <c r="AG19" s="47">
        <f>ROUND(AG18/AG13,2)</f>
        <v>0.81</v>
      </c>
      <c r="AH19" s="47">
        <f>ROUND(AH18/AH13,2)</f>
        <v>0.81</v>
      </c>
      <c r="AI19" s="47" t="e">
        <f>ROUND(AI18/AI13,2)</f>
        <v>#REF!</v>
      </c>
      <c r="AJ19" s="47">
        <f>ROUND(AJ18/AJ13,2)</f>
        <v>0.82</v>
      </c>
      <c r="AK19" s="47" t="e">
        <f>ROUND(AK18/AK13,2)</f>
        <v>#REF!</v>
      </c>
      <c r="AN19" s="49"/>
      <c r="AO19" s="49"/>
      <c r="AP19" s="49"/>
      <c r="AQ19" s="49"/>
      <c r="AS19" s="22"/>
      <c r="AT19" s="47">
        <f>ROUND(AT18/AT13,2)</f>
        <v>0.83</v>
      </c>
      <c r="AU19" s="47" t="e">
        <f>ROUND(AU18/AU13,2)</f>
        <v>#DIV/0!</v>
      </c>
      <c r="AV19" s="127" t="e">
        <f>ROUND(AV18/AV13,2)</f>
        <v>#REF!</v>
      </c>
    </row>
    <row r="20" spans="1:48">
      <c r="A20" t="s">
        <v>16</v>
      </c>
      <c r="C20" s="18">
        <f>C13-C17</f>
        <v>36221</v>
      </c>
      <c r="D20" s="18">
        <f>D13-D17</f>
        <v>39703</v>
      </c>
      <c r="E20" s="18">
        <f>E13-E17</f>
        <v>41538</v>
      </c>
      <c r="F20" s="18">
        <f>F13-F17</f>
        <v>46403</v>
      </c>
      <c r="G20" s="18">
        <f>G13-G17</f>
        <v>163865</v>
      </c>
      <c r="H20" s="19"/>
      <c r="I20" s="18">
        <f>I13-I17</f>
        <v>48572</v>
      </c>
      <c r="J20" s="18">
        <f>J13-J17</f>
        <v>51897</v>
      </c>
      <c r="K20" s="18">
        <f>K13-K17</f>
        <v>60418</v>
      </c>
      <c r="L20" s="18">
        <f>L13-L17</f>
        <v>66573</v>
      </c>
      <c r="M20" s="18">
        <f>M13-M17</f>
        <v>227460</v>
      </c>
      <c r="O20" s="18">
        <f>O13-O17</f>
        <v>71509</v>
      </c>
      <c r="P20" s="18">
        <f>P13-P17</f>
        <v>79454</v>
      </c>
      <c r="Q20" s="22">
        <f>Q13-Q17</f>
        <v>86511</v>
      </c>
      <c r="R20" s="22">
        <f>R13-R17</f>
        <v>97098</v>
      </c>
      <c r="S20" s="22">
        <f>S13-S17</f>
        <v>334572</v>
      </c>
      <c r="T20" s="22"/>
      <c r="U20" s="22">
        <f>U13-U17</f>
        <v>104794</v>
      </c>
      <c r="V20" s="22">
        <f>V13-V17</f>
        <v>112895</v>
      </c>
      <c r="W20" s="22">
        <f>W13-W17</f>
        <v>117429</v>
      </c>
      <c r="X20" s="22">
        <f>X13-X17</f>
        <v>133844</v>
      </c>
      <c r="Y20" s="22">
        <f>Y13-Y17</f>
        <v>468962</v>
      </c>
      <c r="AA20" s="22">
        <f>AA13-AA17</f>
        <v>135444</v>
      </c>
      <c r="AB20" s="22">
        <f>AB13-AB17</f>
        <v>140316</v>
      </c>
      <c r="AC20" s="22">
        <f>AC13-AC17</f>
        <v>140688</v>
      </c>
      <c r="AD20" s="22">
        <f>AD13-AD17</f>
        <v>151866</v>
      </c>
      <c r="AE20" s="22">
        <f>AE13-AE17</f>
        <v>568314</v>
      </c>
      <c r="AG20" s="54">
        <f>AG13-AG17</f>
        <v>150006</v>
      </c>
      <c r="AH20" s="22">
        <f>AH13-AH17</f>
        <v>144591</v>
      </c>
      <c r="AI20" s="22" t="e">
        <f>AI13-AI17</f>
        <v>#REF!</v>
      </c>
      <c r="AJ20" s="22">
        <f>AJ13-AJ17</f>
        <v>170725</v>
      </c>
      <c r="AK20" s="22" t="e">
        <f>AK13-AK17</f>
        <v>#REF!</v>
      </c>
      <c r="AS20" s="22"/>
      <c r="AT20" s="22">
        <f>AT13-AT17</f>
        <v>172555</v>
      </c>
      <c r="AU20" s="22">
        <f>AU13-AU17</f>
        <v>0</v>
      </c>
      <c r="AV20" s="84" t="e">
        <f>AV13-AV17</f>
        <v>#REF!</v>
      </c>
    </row>
    <row r="21" spans="1:48" s="25" customFormat="1">
      <c r="A21" s="25" t="s">
        <v>17</v>
      </c>
      <c r="C21" s="26">
        <f>C20/C13</f>
        <v>0.74887836748196079</v>
      </c>
      <c r="D21" s="26">
        <f>D20/D13</f>
        <v>0.78177056669160794</v>
      </c>
      <c r="E21" s="26">
        <f>E20/E13</f>
        <v>0.77952933228240062</v>
      </c>
      <c r="F21" s="26">
        <f>F20/F13</f>
        <v>0.80594344865916356</v>
      </c>
      <c r="G21" s="26">
        <f>G20/G13</f>
        <v>0.78025379139585271</v>
      </c>
      <c r="I21" s="26">
        <f>I20/I13</f>
        <v>0.8082401490947817</v>
      </c>
      <c r="J21" s="26">
        <f>J20/J13</f>
        <v>0.80275023588918626</v>
      </c>
      <c r="K21" s="26">
        <f>K20/K13</f>
        <v>0.79798713563060508</v>
      </c>
      <c r="L21" s="26">
        <f>L20/L13</f>
        <v>0.80541272971436173</v>
      </c>
      <c r="M21" s="26">
        <f>M20/M13</f>
        <v>0.80341910531056282</v>
      </c>
      <c r="O21" s="26">
        <f>O20/O13</f>
        <v>0.78732727773190203</v>
      </c>
      <c r="P21" s="26">
        <f>P20/P13</f>
        <v>0.78941668570974377</v>
      </c>
      <c r="Q21" s="33">
        <f>Q20/Q13</f>
        <v>0.77591820260998257</v>
      </c>
      <c r="R21" s="33">
        <f>R20/R13</f>
        <v>0.77243979857282641</v>
      </c>
      <c r="S21" s="33">
        <f>S20/S13</f>
        <v>0.78048484622275305</v>
      </c>
      <c r="T21" s="33"/>
      <c r="U21" s="47">
        <f>ROUND(U20/U13,2)</f>
        <v>0.75</v>
      </c>
      <c r="V21" s="47">
        <f>ROUND(V20/V13,2)</f>
        <v>0.74</v>
      </c>
      <c r="W21" s="47">
        <f>ROUND(W20/W13,2)</f>
        <v>0.73</v>
      </c>
      <c r="X21" s="47">
        <f>ROUND(X20/X13,2)</f>
        <v>0.73</v>
      </c>
      <c r="Y21" s="47">
        <f>ROUND(Y20/Y13,2)</f>
        <v>0.74</v>
      </c>
      <c r="AA21" s="47">
        <f>ROUND(AA20/AA13,2)</f>
        <v>0.72</v>
      </c>
      <c r="AB21" s="47">
        <f>ROUND(AB20/AB13,2)</f>
        <v>0.72</v>
      </c>
      <c r="AC21" s="47">
        <f>ROUND(AC20/AC13,2)</f>
        <v>0.71</v>
      </c>
      <c r="AD21" s="47">
        <f>ROUND(AD20/AD13,2)</f>
        <v>0.71</v>
      </c>
      <c r="AE21" s="47">
        <f>ROUND(AE20/AE13,2)</f>
        <v>0.72</v>
      </c>
      <c r="AG21" s="47">
        <f>ROUND(AG20/AG13,2)</f>
        <v>0.71</v>
      </c>
      <c r="AH21" s="47">
        <f>ROUND(AH20/AH13,2)</f>
        <v>0.71</v>
      </c>
      <c r="AI21" s="47" t="e">
        <f>ROUND(AI20/AI13,2)</f>
        <v>#REF!</v>
      </c>
      <c r="AJ21" s="47">
        <f>ROUND(AJ20/AJ13,2)</f>
        <v>0.72</v>
      </c>
      <c r="AK21" s="47" t="e">
        <f>ROUND(AK20/AK13,2)</f>
        <v>#REF!</v>
      </c>
      <c r="AN21" s="49" t="e">
        <f>#REF!/1000</f>
        <v>#REF!</v>
      </c>
      <c r="AO21" s="49" t="e">
        <f>#REF!/1000</f>
        <v>#REF!</v>
      </c>
      <c r="AP21" s="49" t="e">
        <f>#REF!/1000</f>
        <v>#REF!</v>
      </c>
      <c r="AQ21" s="49" t="e">
        <f>#REF!/1000</f>
        <v>#REF!</v>
      </c>
      <c r="AR21" s="49" t="e">
        <f>#REF!/1000</f>
        <v>#REF!</v>
      </c>
      <c r="AS21" s="33"/>
      <c r="AT21" s="47">
        <f>ROUND(AT20/AT13,2)</f>
        <v>0.72</v>
      </c>
      <c r="AU21" s="47" t="e">
        <f>ROUND(AU20/AU13,2)</f>
        <v>#DIV/0!</v>
      </c>
      <c r="AV21" s="127" t="e">
        <f>ROUND(AV20/AV13,2)</f>
        <v>#REF!</v>
      </c>
    </row>
    <row r="22" spans="1:48">
      <c r="C22" s="12"/>
      <c r="D22" s="12"/>
      <c r="E22" s="12"/>
      <c r="F22" s="12"/>
      <c r="G22" s="12"/>
      <c r="I22" s="12"/>
      <c r="J22" s="12"/>
      <c r="K22" s="12"/>
      <c r="L22" s="12"/>
      <c r="M22" s="12"/>
      <c r="O22" s="12"/>
      <c r="P22" s="12"/>
      <c r="Q22" s="21"/>
      <c r="R22" s="21"/>
      <c r="S22" s="20"/>
      <c r="T22" s="20"/>
      <c r="U22" s="20"/>
      <c r="V22" s="20"/>
      <c r="W22" s="20"/>
      <c r="X22" s="20"/>
      <c r="Y22" s="20"/>
      <c r="AA22" s="20"/>
      <c r="AB22" s="24"/>
      <c r="AC22" s="24"/>
      <c r="AD22" s="24"/>
      <c r="AE22" s="24"/>
      <c r="AG22" s="59"/>
      <c r="AH22" s="24"/>
      <c r="AI22" s="24"/>
      <c r="AJ22" s="50"/>
      <c r="AL22" t="s">
        <v>53</v>
      </c>
      <c r="AN22" s="18">
        <v>3194.7957740834918</v>
      </c>
      <c r="AO22" s="18">
        <v>3095.2248014630518</v>
      </c>
      <c r="AP22" s="18">
        <v>3363.6883556728644</v>
      </c>
      <c r="AQ22" s="18">
        <v>3478.3050278715536</v>
      </c>
      <c r="AR22" s="29">
        <v>13132.01395909096</v>
      </c>
      <c r="AS22" s="24"/>
      <c r="AT22" s="107"/>
      <c r="AU22" s="107"/>
      <c r="AV22" s="90"/>
    </row>
    <row r="23" spans="1:48">
      <c r="B23" t="s">
        <v>31</v>
      </c>
      <c r="C23" s="22">
        <v>2656</v>
      </c>
      <c r="D23" s="22">
        <v>2832</v>
      </c>
      <c r="E23" s="22">
        <v>3195</v>
      </c>
      <c r="F23" s="22">
        <v>3331</v>
      </c>
      <c r="G23" s="18">
        <f>SUM(C23:F23)</f>
        <v>12014</v>
      </c>
      <c r="H23" s="19"/>
      <c r="I23" s="22">
        <v>3623</v>
      </c>
      <c r="J23" s="22">
        <v>4378</v>
      </c>
      <c r="K23" s="22">
        <v>4593</v>
      </c>
      <c r="L23" s="22">
        <v>4444</v>
      </c>
      <c r="M23" s="18">
        <f>SUM(I23:L23)</f>
        <v>17038</v>
      </c>
      <c r="O23" s="22">
        <v>5069</v>
      </c>
      <c r="P23" s="22">
        <v>5041</v>
      </c>
      <c r="Q23" s="22">
        <v>5825</v>
      </c>
      <c r="R23" s="22">
        <v>5732</v>
      </c>
      <c r="S23" s="22">
        <f>SUM(O23:R23)</f>
        <v>21667</v>
      </c>
      <c r="T23" s="22"/>
      <c r="U23" s="22">
        <v>6628</v>
      </c>
      <c r="V23" s="22">
        <v>7719</v>
      </c>
      <c r="W23" s="22">
        <v>7313</v>
      </c>
      <c r="X23" s="22">
        <v>6823</v>
      </c>
      <c r="Y23" s="22">
        <f>SUM(U23:X23)</f>
        <v>28483</v>
      </c>
      <c r="AA23" s="22">
        <v>6856</v>
      </c>
      <c r="AB23" s="22">
        <v>6857</v>
      </c>
      <c r="AC23" s="22">
        <v>7178</v>
      </c>
      <c r="AD23" s="22">
        <v>7264</v>
      </c>
      <c r="AE23" s="22">
        <f>SUM(AA23:AD23)</f>
        <v>28155</v>
      </c>
      <c r="AG23" s="54">
        <v>8130</v>
      </c>
      <c r="AH23" s="22">
        <v>7155</v>
      </c>
      <c r="AI23" s="22">
        <v>8250</v>
      </c>
      <c r="AJ23" s="22">
        <v>9156</v>
      </c>
      <c r="AK23" s="19">
        <f t="shared" ref="AK23:AK34" si="1">SUM(AG23:AJ23)</f>
        <v>32691</v>
      </c>
      <c r="AO23" s="18" t="e">
        <f>AO22-AO21</f>
        <v>#REF!</v>
      </c>
      <c r="AP23" s="18" t="e">
        <f>AP22-AP21</f>
        <v>#REF!</v>
      </c>
      <c r="AQ23" s="18" t="e">
        <f>AQ22-AQ21</f>
        <v>#REF!</v>
      </c>
      <c r="AR23" s="18" t="e">
        <f>AR22-AR21</f>
        <v>#REF!</v>
      </c>
      <c r="AS23" s="22"/>
      <c r="AT23" s="106">
        <v>9186</v>
      </c>
      <c r="AU23" s="106"/>
      <c r="AV23" s="84" t="e">
        <f>#REF!</f>
        <v>#REF!</v>
      </c>
    </row>
    <row r="24" spans="1:48">
      <c r="B24" t="s">
        <v>46</v>
      </c>
      <c r="C24" s="22">
        <v>38</v>
      </c>
      <c r="D24" s="22">
        <v>40</v>
      </c>
      <c r="E24" s="22">
        <v>27</v>
      </c>
      <c r="F24" s="22">
        <v>13</v>
      </c>
      <c r="G24" s="18">
        <f>SUM(C24:F24)</f>
        <v>118</v>
      </c>
      <c r="H24" s="19"/>
      <c r="I24" s="22">
        <v>6</v>
      </c>
      <c r="J24" s="22">
        <v>129</v>
      </c>
      <c r="K24" s="22">
        <v>360</v>
      </c>
      <c r="L24" s="22">
        <v>538</v>
      </c>
      <c r="M24" s="18">
        <f>SUM(I24:L24)</f>
        <v>1033</v>
      </c>
      <c r="O24" s="22">
        <v>1657</v>
      </c>
      <c r="P24" s="22">
        <v>3332</v>
      </c>
      <c r="Q24" s="22">
        <v>3037</v>
      </c>
      <c r="R24" s="22">
        <v>3409</v>
      </c>
      <c r="S24" s="24">
        <f>SUM(O24:R24)</f>
        <v>11435</v>
      </c>
      <c r="T24" s="24"/>
      <c r="U24" s="24">
        <v>3976</v>
      </c>
      <c r="V24" s="24">
        <v>3944</v>
      </c>
      <c r="W24" s="24">
        <v>4095</v>
      </c>
      <c r="X24" s="24">
        <v>3643</v>
      </c>
      <c r="Y24" s="22">
        <f t="shared" ref="Y24:Y34" si="2">SUM(U24:X24)</f>
        <v>15658</v>
      </c>
      <c r="AA24" s="24">
        <v>2448</v>
      </c>
      <c r="AB24" s="59">
        <v>2662</v>
      </c>
      <c r="AC24" s="24">
        <v>2765</v>
      </c>
      <c r="AD24" s="24">
        <v>3213</v>
      </c>
      <c r="AE24" s="22">
        <f>SUM(AA24:AD24)</f>
        <v>11088</v>
      </c>
      <c r="AG24" s="59">
        <v>2726</v>
      </c>
      <c r="AH24" s="24">
        <v>2223</v>
      </c>
      <c r="AI24" s="24">
        <v>2654</v>
      </c>
      <c r="AJ24" s="24">
        <v>3364</v>
      </c>
      <c r="AK24" s="19">
        <f t="shared" si="1"/>
        <v>10967</v>
      </c>
      <c r="AS24" s="24"/>
      <c r="AT24" s="107">
        <v>3993</v>
      </c>
      <c r="AU24" s="107"/>
      <c r="AV24" s="90" t="e">
        <f>$AV$64*AT24/$AT$64</f>
        <v>#REF!</v>
      </c>
    </row>
    <row r="25" spans="1:48">
      <c r="A25" t="s">
        <v>1</v>
      </c>
      <c r="C25" s="22">
        <f>C24+C23</f>
        <v>2694</v>
      </c>
      <c r="D25" s="22">
        <f>D24+D23</f>
        <v>2872</v>
      </c>
      <c r="E25" s="22">
        <f>E24+E23</f>
        <v>3222</v>
      </c>
      <c r="F25" s="22">
        <f>F24+F23</f>
        <v>3344</v>
      </c>
      <c r="G25" s="18">
        <f>G24+G23</f>
        <v>12132</v>
      </c>
      <c r="H25" s="19"/>
      <c r="I25" s="22">
        <f>I24+I23</f>
        <v>3629</v>
      </c>
      <c r="J25" s="22">
        <f>J24+J23</f>
        <v>4507</v>
      </c>
      <c r="K25" s="22">
        <f>K24+K23</f>
        <v>4953</v>
      </c>
      <c r="L25" s="22">
        <f>L24+L23</f>
        <v>4982</v>
      </c>
      <c r="M25" s="18">
        <f>M24+M23</f>
        <v>18071</v>
      </c>
      <c r="O25" s="22">
        <f>O24+O23</f>
        <v>6726</v>
      </c>
      <c r="P25" s="22">
        <f>P24+P23</f>
        <v>8373</v>
      </c>
      <c r="Q25" s="22">
        <f>Q24+Q23</f>
        <v>8862</v>
      </c>
      <c r="R25" s="22">
        <f>R24+R23</f>
        <v>9141</v>
      </c>
      <c r="S25" s="22">
        <f>S24+S23</f>
        <v>33102</v>
      </c>
      <c r="T25" s="22"/>
      <c r="U25" s="22">
        <f>U24+U23</f>
        <v>10604</v>
      </c>
      <c r="V25" s="22">
        <f>V24+V23</f>
        <v>11663</v>
      </c>
      <c r="W25" s="22">
        <f>W24+W23</f>
        <v>11408</v>
      </c>
      <c r="X25" s="22">
        <f>X24+X23</f>
        <v>10466</v>
      </c>
      <c r="Y25" s="22">
        <f>Y24+Y23</f>
        <v>44141</v>
      </c>
      <c r="AA25" s="22">
        <f>AA24+AA23</f>
        <v>9304</v>
      </c>
      <c r="AB25" s="22">
        <f>AB24+AB23</f>
        <v>9519</v>
      </c>
      <c r="AC25" s="22">
        <f>AC24+AC23</f>
        <v>9943</v>
      </c>
      <c r="AD25" s="22">
        <f>AD24+AD23</f>
        <v>10477</v>
      </c>
      <c r="AE25" s="22">
        <f>AE24+AE23</f>
        <v>39243</v>
      </c>
      <c r="AG25" s="54">
        <f>AG24+AG23</f>
        <v>10856</v>
      </c>
      <c r="AH25" s="22">
        <f>AH24+AH23</f>
        <v>9378</v>
      </c>
      <c r="AI25" s="22">
        <f>AI24+AI23</f>
        <v>10904</v>
      </c>
      <c r="AJ25" s="22">
        <f>AJ24+AJ23</f>
        <v>12520</v>
      </c>
      <c r="AK25" s="19">
        <f t="shared" si="1"/>
        <v>43658</v>
      </c>
      <c r="AN25" s="18">
        <v>69294.882119495349</v>
      </c>
      <c r="AO25" s="18">
        <v>68861.151304245665</v>
      </c>
      <c r="AP25" s="18">
        <v>71640.523939202627</v>
      </c>
      <c r="AQ25" s="18">
        <v>76289.419456970238</v>
      </c>
      <c r="AR25" s="18">
        <v>286085.97681991383</v>
      </c>
      <c r="AS25" s="22"/>
      <c r="AT25" s="22">
        <f>AT24+AT23</f>
        <v>13179</v>
      </c>
      <c r="AU25" s="22">
        <f>AU24+AU23</f>
        <v>0</v>
      </c>
      <c r="AV25" s="84" t="e">
        <f>AV24+AV23</f>
        <v>#REF!</v>
      </c>
    </row>
    <row r="26" spans="1:48">
      <c r="B26" t="s">
        <v>32</v>
      </c>
      <c r="C26" s="22">
        <v>13681</v>
      </c>
      <c r="D26" s="22">
        <v>13548</v>
      </c>
      <c r="E26" s="22">
        <v>12917</v>
      </c>
      <c r="F26" s="22">
        <v>14968</v>
      </c>
      <c r="G26" s="18">
        <f>SUM(C26:F26)</f>
        <v>55114</v>
      </c>
      <c r="H26" s="19"/>
      <c r="I26" s="22">
        <v>16698</v>
      </c>
      <c r="J26" s="22">
        <v>18234</v>
      </c>
      <c r="K26" s="22">
        <v>19569</v>
      </c>
      <c r="L26" s="22">
        <v>22739</v>
      </c>
      <c r="M26" s="18">
        <f>SUM(I26:L26)</f>
        <v>77240</v>
      </c>
      <c r="O26" s="22">
        <v>23706</v>
      </c>
      <c r="P26" s="22">
        <v>24680</v>
      </c>
      <c r="Q26" s="22">
        <v>24635</v>
      </c>
      <c r="R26" s="22">
        <v>28265</v>
      </c>
      <c r="S26" s="22">
        <f t="shared" ref="S26:S34" si="3">SUM(O26:R26)</f>
        <v>101286</v>
      </c>
      <c r="T26" s="22"/>
      <c r="U26" s="22">
        <v>29922</v>
      </c>
      <c r="V26" s="22">
        <v>31268</v>
      </c>
      <c r="W26" s="22">
        <v>29861</v>
      </c>
      <c r="X26" s="22">
        <v>30253</v>
      </c>
      <c r="Y26" s="22">
        <f t="shared" si="2"/>
        <v>121304</v>
      </c>
      <c r="AA26" s="22">
        <v>30995</v>
      </c>
      <c r="AB26" s="22">
        <v>34084</v>
      </c>
      <c r="AC26" s="22">
        <v>35078</v>
      </c>
      <c r="AD26" s="22">
        <v>37935</v>
      </c>
      <c r="AE26" s="22">
        <f>SUM(AA26:AD26)</f>
        <v>138092</v>
      </c>
      <c r="AG26" s="54">
        <v>35230</v>
      </c>
      <c r="AH26" s="22">
        <v>35413</v>
      </c>
      <c r="AI26" s="22">
        <v>37319</v>
      </c>
      <c r="AJ26" s="22">
        <v>44048</v>
      </c>
      <c r="AK26" s="19">
        <f t="shared" si="1"/>
        <v>152010</v>
      </c>
      <c r="AN26" s="18">
        <f>AA32+AA28+AA25</f>
        <v>78514</v>
      </c>
      <c r="AO26" s="18">
        <f>AB32+AB28+AB25</f>
        <v>84510</v>
      </c>
      <c r="AP26" s="18">
        <f>AC32+AC28+AC25</f>
        <v>85746</v>
      </c>
      <c r="AQ26" s="18">
        <f>AD32+AD28+AD25</f>
        <v>90866</v>
      </c>
      <c r="AR26" s="18">
        <f>AE32+AE28+AE25</f>
        <v>339636</v>
      </c>
      <c r="AS26" s="22"/>
      <c r="AT26" s="106">
        <v>40644</v>
      </c>
      <c r="AU26" s="106"/>
      <c r="AV26" s="84" t="e">
        <f>#REF!</f>
        <v>#REF!</v>
      </c>
    </row>
    <row r="27" spans="1:48">
      <c r="B27" t="s">
        <v>47</v>
      </c>
      <c r="C27" s="22">
        <v>329</v>
      </c>
      <c r="D27" s="22">
        <v>123</v>
      </c>
      <c r="E27" s="22">
        <v>48</v>
      </c>
      <c r="F27" s="22">
        <v>49</v>
      </c>
      <c r="G27" s="18">
        <f>SUM(C27:F27)</f>
        <v>549</v>
      </c>
      <c r="H27" s="19"/>
      <c r="I27" s="22">
        <v>47</v>
      </c>
      <c r="J27" s="22">
        <v>129</v>
      </c>
      <c r="K27" s="22">
        <v>234</v>
      </c>
      <c r="L27" s="22">
        <v>226</v>
      </c>
      <c r="M27" s="18">
        <f>SUM(I27:L27)</f>
        <v>636</v>
      </c>
      <c r="O27" s="22">
        <v>2589</v>
      </c>
      <c r="P27" s="22">
        <v>5040</v>
      </c>
      <c r="Q27" s="22">
        <v>4781</v>
      </c>
      <c r="R27" s="22">
        <v>5993</v>
      </c>
      <c r="S27" s="24">
        <f t="shared" si="3"/>
        <v>18403</v>
      </c>
      <c r="T27" s="24"/>
      <c r="U27" s="24">
        <v>6827</v>
      </c>
      <c r="V27" s="24">
        <v>6471</v>
      </c>
      <c r="W27" s="24">
        <v>6810</v>
      </c>
      <c r="X27" s="24">
        <v>6144</v>
      </c>
      <c r="Y27" s="22">
        <f t="shared" si="2"/>
        <v>26252</v>
      </c>
      <c r="AA27" s="24">
        <v>4949</v>
      </c>
      <c r="AB27" s="59">
        <v>7104</v>
      </c>
      <c r="AC27" s="24">
        <v>6949</v>
      </c>
      <c r="AD27" s="24">
        <v>7271</v>
      </c>
      <c r="AE27" s="22">
        <f>SUM(AA27:AD27)</f>
        <v>26273</v>
      </c>
      <c r="AG27" s="59">
        <v>7040</v>
      </c>
      <c r="AH27" s="24">
        <v>6024</v>
      </c>
      <c r="AI27" s="24">
        <v>6787</v>
      </c>
      <c r="AJ27" s="24">
        <v>7560</v>
      </c>
      <c r="AK27" s="19">
        <f t="shared" si="1"/>
        <v>27411</v>
      </c>
      <c r="AN27" s="18">
        <f>AN26-AN25</f>
        <v>9219.1178805046511</v>
      </c>
      <c r="AO27" s="18">
        <f>AO26-AO25</f>
        <v>15648.848695754335</v>
      </c>
      <c r="AP27" s="18">
        <f>AP26-AP25</f>
        <v>14105.476060797373</v>
      </c>
      <c r="AQ27" s="18">
        <f>AQ26-AQ25</f>
        <v>14576.580543029762</v>
      </c>
      <c r="AR27" s="18">
        <f>AR26-AR25</f>
        <v>53550.023180086166</v>
      </c>
      <c r="AS27" s="24"/>
      <c r="AT27" s="107">
        <v>9024</v>
      </c>
      <c r="AU27" s="107"/>
      <c r="AV27" s="90" t="e">
        <f>$AV$64*AT27/$AT$64</f>
        <v>#REF!</v>
      </c>
    </row>
    <row r="28" spans="1:48">
      <c r="A28" t="s">
        <v>2</v>
      </c>
      <c r="C28" s="22">
        <f>C27+C26</f>
        <v>14010</v>
      </c>
      <c r="D28" s="22">
        <f>D27+D26</f>
        <v>13671</v>
      </c>
      <c r="E28" s="22">
        <f>E27+E26</f>
        <v>12965</v>
      </c>
      <c r="F28" s="22">
        <f>F27+F26</f>
        <v>15017</v>
      </c>
      <c r="G28" s="18">
        <f>G27+G26</f>
        <v>55663</v>
      </c>
      <c r="H28" s="19"/>
      <c r="I28" s="22">
        <f>I27+I26</f>
        <v>16745</v>
      </c>
      <c r="J28" s="22">
        <f>J27+J26</f>
        <v>18363</v>
      </c>
      <c r="K28" s="22">
        <f>K27+K26</f>
        <v>19803</v>
      </c>
      <c r="L28" s="22">
        <f>L27+L26</f>
        <v>22965</v>
      </c>
      <c r="M28" s="18">
        <f>M27+M26</f>
        <v>77876</v>
      </c>
      <c r="O28" s="22">
        <f>O27+O26</f>
        <v>26295</v>
      </c>
      <c r="P28" s="22">
        <f>P27+P26</f>
        <v>29720</v>
      </c>
      <c r="Q28" s="22">
        <f>Q27+Q26</f>
        <v>29416</v>
      </c>
      <c r="R28" s="22">
        <f>R27+R26</f>
        <v>34258</v>
      </c>
      <c r="S28" s="22">
        <f>S27+S26</f>
        <v>119689</v>
      </c>
      <c r="T28" s="22"/>
      <c r="U28" s="22">
        <f>U27+U26</f>
        <v>36749</v>
      </c>
      <c r="V28" s="22">
        <f>V27+V26</f>
        <v>37739</v>
      </c>
      <c r="W28" s="22">
        <f>W27+W26</f>
        <v>36671</v>
      </c>
      <c r="X28" s="22">
        <f>X27+X26</f>
        <v>36397</v>
      </c>
      <c r="Y28" s="22">
        <f>Y27+Y26</f>
        <v>147556</v>
      </c>
      <c r="AA28" s="22">
        <f>AA27+AA26</f>
        <v>35944</v>
      </c>
      <c r="AB28" s="22">
        <f>AB27+AB26</f>
        <v>41188</v>
      </c>
      <c r="AC28" s="22">
        <f>AC27+AC26</f>
        <v>42027</v>
      </c>
      <c r="AD28" s="22">
        <f>AD27+AD26</f>
        <v>45206</v>
      </c>
      <c r="AE28" s="22">
        <f>AE27+AE26</f>
        <v>164365</v>
      </c>
      <c r="AG28" s="54">
        <f>AG27+AG26</f>
        <v>42270</v>
      </c>
      <c r="AH28" s="22">
        <f>AH27+AH26</f>
        <v>41437</v>
      </c>
      <c r="AI28" s="22">
        <f>AI27+AI26</f>
        <v>44106</v>
      </c>
      <c r="AJ28" s="22">
        <f>AJ27+AJ26</f>
        <v>51608</v>
      </c>
      <c r="AK28" s="19">
        <f t="shared" si="1"/>
        <v>179421</v>
      </c>
      <c r="AS28" s="22"/>
      <c r="AT28" s="22">
        <f>AT27+AT26</f>
        <v>49668</v>
      </c>
      <c r="AU28" s="22">
        <f>AU27+AU26</f>
        <v>0</v>
      </c>
      <c r="AV28" s="84" t="e">
        <f>AV27+AV26</f>
        <v>#REF!</v>
      </c>
    </row>
    <row r="29" spans="1:48">
      <c r="B29" t="s">
        <v>33</v>
      </c>
      <c r="C29" s="22">
        <v>9440</v>
      </c>
      <c r="D29" s="22">
        <v>9305</v>
      </c>
      <c r="E29" s="22">
        <v>10676</v>
      </c>
      <c r="F29" s="22">
        <v>12282</v>
      </c>
      <c r="G29" s="18">
        <f>SUM(C29:F29)</f>
        <v>41703</v>
      </c>
      <c r="H29" s="19"/>
      <c r="I29" s="22">
        <v>10726</v>
      </c>
      <c r="J29" s="22">
        <v>10082</v>
      </c>
      <c r="K29" s="22">
        <v>12898</v>
      </c>
      <c r="L29" s="22">
        <v>13556</v>
      </c>
      <c r="M29" s="18">
        <f>SUM(I29:L29)</f>
        <v>47262</v>
      </c>
      <c r="O29" s="22">
        <f>5685+9255</f>
        <v>14940</v>
      </c>
      <c r="P29" s="22">
        <f>11086+5350</f>
        <v>16436</v>
      </c>
      <c r="Q29" s="22">
        <f>6574+10470</f>
        <v>17044</v>
      </c>
      <c r="R29" s="22">
        <f>7154+11855</f>
        <v>19009</v>
      </c>
      <c r="S29" s="22">
        <f t="shared" si="3"/>
        <v>67429</v>
      </c>
      <c r="T29" s="22"/>
      <c r="U29" s="22">
        <v>20519</v>
      </c>
      <c r="V29" s="22">
        <v>21866</v>
      </c>
      <c r="W29" s="22">
        <f>7258+16099</f>
        <v>23357</v>
      </c>
      <c r="X29" s="22">
        <v>25707</v>
      </c>
      <c r="Y29" s="22">
        <f t="shared" si="2"/>
        <v>91449</v>
      </c>
      <c r="AA29" s="22">
        <v>27181</v>
      </c>
      <c r="AB29" s="22">
        <v>24984</v>
      </c>
      <c r="AC29" s="22">
        <v>27068</v>
      </c>
      <c r="AD29" s="22">
        <v>27135</v>
      </c>
      <c r="AE29" s="22">
        <f>SUM(AA29:AD29)</f>
        <v>106368</v>
      </c>
      <c r="AG29" s="54">
        <v>27611</v>
      </c>
      <c r="AH29" s="22">
        <v>26724</v>
      </c>
      <c r="AI29" s="22">
        <v>27081</v>
      </c>
      <c r="AJ29" s="22">
        <v>31129</v>
      </c>
      <c r="AK29" s="19">
        <f t="shared" si="1"/>
        <v>112545</v>
      </c>
      <c r="AS29" s="22"/>
      <c r="AT29" s="104">
        <v>30238</v>
      </c>
      <c r="AU29" s="104"/>
      <c r="AV29" s="84" t="e">
        <f>#REF!</f>
        <v>#REF!</v>
      </c>
    </row>
    <row r="30" spans="1:48">
      <c r="B30" t="s">
        <v>48</v>
      </c>
      <c r="C30" s="22">
        <v>163</v>
      </c>
      <c r="D30" s="22">
        <v>110</v>
      </c>
      <c r="E30" s="22">
        <v>174</v>
      </c>
      <c r="F30" s="22">
        <v>174</v>
      </c>
      <c r="G30" s="18">
        <f>SUM(C30:F30)</f>
        <v>621</v>
      </c>
      <c r="H30" s="19"/>
      <c r="I30" s="22">
        <f>147+27</f>
        <v>174</v>
      </c>
      <c r="J30" s="22">
        <v>399</v>
      </c>
      <c r="K30" s="22">
        <v>789</v>
      </c>
      <c r="L30" s="22">
        <v>818</v>
      </c>
      <c r="M30" s="18">
        <f>SUM(I30:L30)</f>
        <v>2180</v>
      </c>
      <c r="O30" s="22">
        <v>2568</v>
      </c>
      <c r="P30" s="22">
        <v>4270</v>
      </c>
      <c r="Q30" s="22">
        <v>6179</v>
      </c>
      <c r="R30" s="22">
        <v>4753</v>
      </c>
      <c r="S30" s="24">
        <f t="shared" si="3"/>
        <v>17770</v>
      </c>
      <c r="T30" s="24"/>
      <c r="U30" s="24">
        <v>5288</v>
      </c>
      <c r="V30" s="24">
        <v>5946</v>
      </c>
      <c r="W30" s="24">
        <v>5108</v>
      </c>
      <c r="X30" s="24">
        <v>4954</v>
      </c>
      <c r="Y30" s="22">
        <f t="shared" si="2"/>
        <v>21296</v>
      </c>
      <c r="AA30" s="24">
        <v>3288</v>
      </c>
      <c r="AB30" s="59">
        <v>6632</v>
      </c>
      <c r="AC30" s="24">
        <v>3794</v>
      </c>
      <c r="AD30" s="24">
        <v>4409</v>
      </c>
      <c r="AE30" s="22">
        <f>SUM(AA30:AD30)</f>
        <v>18123</v>
      </c>
      <c r="AG30" s="54">
        <v>4740</v>
      </c>
      <c r="AH30" s="22">
        <v>4584</v>
      </c>
      <c r="AI30" s="24">
        <v>3639</v>
      </c>
      <c r="AJ30" s="24">
        <v>5261</v>
      </c>
      <c r="AK30" s="19">
        <f t="shared" si="1"/>
        <v>18224</v>
      </c>
      <c r="AS30" s="24"/>
      <c r="AT30" s="104">
        <v>5390</v>
      </c>
      <c r="AU30" s="104"/>
      <c r="AV30" s="90" t="e">
        <f>$AV$64*AT30/$AT$64</f>
        <v>#REF!</v>
      </c>
    </row>
    <row r="31" spans="1:48">
      <c r="B31" t="s">
        <v>9</v>
      </c>
      <c r="C31" s="22">
        <f>1525+69</f>
        <v>1594</v>
      </c>
      <c r="D31" s="22">
        <f>1038+68</f>
        <v>1106</v>
      </c>
      <c r="E31" s="22">
        <v>1024</v>
      </c>
      <c r="F31" s="22">
        <v>1007</v>
      </c>
      <c r="G31" s="18">
        <f>SUM(C31:F31)</f>
        <v>4731</v>
      </c>
      <c r="H31" s="19"/>
      <c r="I31" s="22">
        <v>939</v>
      </c>
      <c r="J31" s="22">
        <v>860</v>
      </c>
      <c r="K31" s="22">
        <v>881</v>
      </c>
      <c r="L31" s="22">
        <v>892</v>
      </c>
      <c r="M31" s="18">
        <f>SUM(I31:L31)</f>
        <v>3572</v>
      </c>
      <c r="O31" s="22">
        <v>1035</v>
      </c>
      <c r="P31" s="22">
        <v>1164</v>
      </c>
      <c r="Q31" s="22">
        <v>1306</v>
      </c>
      <c r="R31" s="22">
        <v>1487</v>
      </c>
      <c r="S31" s="22">
        <f t="shared" si="3"/>
        <v>4992</v>
      </c>
      <c r="T31" s="22"/>
      <c r="U31" s="22">
        <v>1671</v>
      </c>
      <c r="V31" s="22">
        <v>1967</v>
      </c>
      <c r="W31" s="22">
        <v>2279</v>
      </c>
      <c r="X31" s="22">
        <v>2439</v>
      </c>
      <c r="Y31" s="22">
        <f t="shared" si="2"/>
        <v>8356</v>
      </c>
      <c r="AA31" s="22">
        <v>2797</v>
      </c>
      <c r="AB31" s="22">
        <v>2187</v>
      </c>
      <c r="AC31" s="22">
        <v>2914</v>
      </c>
      <c r="AD31" s="22">
        <v>3639</v>
      </c>
      <c r="AE31" s="22">
        <f>SUM(AA31:AD31)</f>
        <v>11537</v>
      </c>
      <c r="AG31" s="54">
        <v>3717</v>
      </c>
      <c r="AH31" s="22">
        <v>3836</v>
      </c>
      <c r="AI31" s="22">
        <v>3935</v>
      </c>
      <c r="AJ31" s="22">
        <v>3843</v>
      </c>
      <c r="AK31" s="19">
        <f t="shared" si="1"/>
        <v>15331</v>
      </c>
      <c r="AS31" s="22"/>
      <c r="AT31" s="106">
        <v>3922</v>
      </c>
      <c r="AU31" s="106"/>
      <c r="AV31" s="84" t="e">
        <f>#REF!</f>
        <v>#REF!</v>
      </c>
    </row>
    <row r="32" spans="1:48">
      <c r="A32" t="s">
        <v>4</v>
      </c>
      <c r="C32" s="22">
        <f>SUM(C29:C31)</f>
        <v>11197</v>
      </c>
      <c r="D32" s="22">
        <f>SUM(D29:D31)</f>
        <v>10521</v>
      </c>
      <c r="E32" s="22">
        <f>SUM(E29:E31)</f>
        <v>11874</v>
      </c>
      <c r="F32" s="22">
        <f>SUM(F29:F31)</f>
        <v>13463</v>
      </c>
      <c r="G32" s="18">
        <f>SUM(G29:G31)</f>
        <v>47055</v>
      </c>
      <c r="H32" s="19"/>
      <c r="I32" s="22">
        <f>SUM(I29:I31)</f>
        <v>11839</v>
      </c>
      <c r="J32" s="22">
        <f>SUM(J29:J31)</f>
        <v>11341</v>
      </c>
      <c r="K32" s="22">
        <f>SUM(K29:K31)</f>
        <v>14568</v>
      </c>
      <c r="L32" s="22">
        <f>SUM(L29:L31)</f>
        <v>15266</v>
      </c>
      <c r="M32" s="18">
        <f>SUM(M29:M31)</f>
        <v>53014</v>
      </c>
      <c r="O32" s="22">
        <f>SUM(O29:O31)</f>
        <v>18543</v>
      </c>
      <c r="P32" s="22">
        <f>SUM(P29:P31)</f>
        <v>21870</v>
      </c>
      <c r="Q32" s="22">
        <f>SUM(Q29:Q31)</f>
        <v>24529</v>
      </c>
      <c r="R32" s="22">
        <f>SUM(R29:R31)</f>
        <v>25249</v>
      </c>
      <c r="S32" s="22">
        <f>SUM(S29:S31)</f>
        <v>90191</v>
      </c>
      <c r="T32" s="22"/>
      <c r="U32" s="22">
        <f>SUM(U29:U31)</f>
        <v>27478</v>
      </c>
      <c r="V32" s="22">
        <f>SUM(V29:V31)</f>
        <v>29779</v>
      </c>
      <c r="W32" s="22">
        <f>SUM(W29:W31)</f>
        <v>30744</v>
      </c>
      <c r="X32" s="22">
        <f>SUM(X29:X31)</f>
        <v>33100</v>
      </c>
      <c r="Y32" s="22">
        <f>SUM(Y29:Y31)</f>
        <v>121101</v>
      </c>
      <c r="AA32" s="22">
        <f>SUM(AA29:AA31)</f>
        <v>33266</v>
      </c>
      <c r="AB32" s="22">
        <f>SUM(AB29:AB31)</f>
        <v>33803</v>
      </c>
      <c r="AC32" s="22">
        <f>SUM(AC29:AC31)</f>
        <v>33776</v>
      </c>
      <c r="AD32" s="22">
        <f>SUM(AD29:AD31)</f>
        <v>35183</v>
      </c>
      <c r="AE32" s="22">
        <f>SUM(AE29:AE31)</f>
        <v>136028</v>
      </c>
      <c r="AF32" s="19"/>
      <c r="AG32" s="54">
        <f>SUM(AG29:AG31)</f>
        <v>36068</v>
      </c>
      <c r="AH32" s="22">
        <f>SUM(AH29:AH31)</f>
        <v>35144</v>
      </c>
      <c r="AI32" s="22">
        <f>SUM(AI29:AI31)</f>
        <v>34655</v>
      </c>
      <c r="AJ32" s="22">
        <f>SUM(AJ29:AJ31)</f>
        <v>40233</v>
      </c>
      <c r="AK32" s="19">
        <f t="shared" si="1"/>
        <v>146100</v>
      </c>
      <c r="AS32" s="22"/>
      <c r="AT32" s="22">
        <f>SUM(AT29:AT31)</f>
        <v>39550</v>
      </c>
      <c r="AU32" s="22">
        <f>SUM(AU29:AU31)</f>
        <v>0</v>
      </c>
      <c r="AV32" s="84" t="e">
        <f>SUM(AV29:AV31)</f>
        <v>#REF!</v>
      </c>
    </row>
    <row r="33" spans="1:51">
      <c r="A33" t="s">
        <v>63</v>
      </c>
      <c r="C33" s="22"/>
      <c r="D33" s="22"/>
      <c r="E33" s="22"/>
      <c r="F33" s="22"/>
      <c r="G33" s="18"/>
      <c r="H33" s="19"/>
      <c r="I33" s="22">
        <v>0</v>
      </c>
      <c r="J33" s="22">
        <v>0</v>
      </c>
      <c r="K33" s="22">
        <v>0</v>
      </c>
      <c r="L33" s="22">
        <v>0</v>
      </c>
      <c r="M33" s="18">
        <v>0</v>
      </c>
      <c r="N33" s="18"/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/>
      <c r="U33" s="22">
        <v>0</v>
      </c>
      <c r="V33" s="22">
        <v>-178</v>
      </c>
      <c r="W33" s="22">
        <v>0</v>
      </c>
      <c r="X33" s="22">
        <v>0</v>
      </c>
      <c r="Y33" s="22">
        <f t="shared" si="2"/>
        <v>-178</v>
      </c>
      <c r="AA33" s="22">
        <v>0</v>
      </c>
      <c r="AB33" s="22">
        <v>0</v>
      </c>
      <c r="AC33" s="22">
        <v>0</v>
      </c>
      <c r="AD33" s="22">
        <v>2509</v>
      </c>
      <c r="AE33" s="22">
        <f>SUM(AA33:AD33)</f>
        <v>2509</v>
      </c>
      <c r="AG33" s="54">
        <v>454</v>
      </c>
      <c r="AH33" s="22">
        <v>0</v>
      </c>
      <c r="AI33" s="22">
        <v>0</v>
      </c>
      <c r="AJ33" s="22">
        <v>0</v>
      </c>
      <c r="AK33" s="19">
        <f t="shared" si="1"/>
        <v>454</v>
      </c>
      <c r="AS33" s="22"/>
      <c r="AT33" s="106">
        <v>0</v>
      </c>
      <c r="AU33" s="106"/>
      <c r="AV33" s="84">
        <v>0</v>
      </c>
    </row>
    <row r="34" spans="1:51">
      <c r="A34" t="s">
        <v>67</v>
      </c>
      <c r="C34" s="32">
        <v>12</v>
      </c>
      <c r="D34" s="32">
        <v>12</v>
      </c>
      <c r="E34" s="32">
        <v>12</v>
      </c>
      <c r="F34" s="32">
        <v>12</v>
      </c>
      <c r="G34" s="31">
        <f>SUM(C34:F34)</f>
        <v>48</v>
      </c>
      <c r="H34" s="19"/>
      <c r="I34" s="32">
        <v>12</v>
      </c>
      <c r="J34" s="32">
        <v>520</v>
      </c>
      <c r="K34" s="32">
        <v>2296</v>
      </c>
      <c r="L34" s="32">
        <v>2296</v>
      </c>
      <c r="M34" s="31">
        <f>SUM(I34:L34)</f>
        <v>5124</v>
      </c>
      <c r="N34" s="19"/>
      <c r="O34" s="32">
        <v>2296</v>
      </c>
      <c r="P34" s="32">
        <v>2198</v>
      </c>
      <c r="Q34" s="32">
        <v>1943.2</v>
      </c>
      <c r="R34" s="32">
        <v>2047</v>
      </c>
      <c r="S34" s="32">
        <f t="shared" si="3"/>
        <v>8484.2000000000007</v>
      </c>
      <c r="T34" s="38"/>
      <c r="U34" s="32">
        <v>2812</v>
      </c>
      <c r="V34" s="32">
        <v>2932</v>
      </c>
      <c r="W34" s="32">
        <v>2835</v>
      </c>
      <c r="X34" s="32">
        <v>2835</v>
      </c>
      <c r="Y34" s="32">
        <f t="shared" si="2"/>
        <v>11414</v>
      </c>
      <c r="AA34" s="32">
        <v>3590</v>
      </c>
      <c r="AB34" s="32">
        <v>3491</v>
      </c>
      <c r="AC34" s="32">
        <v>3173</v>
      </c>
      <c r="AD34" s="32">
        <v>3651</v>
      </c>
      <c r="AE34" s="32">
        <f>SUM(AA34:AD34)</f>
        <v>13905</v>
      </c>
      <c r="AG34" s="72">
        <v>4239</v>
      </c>
      <c r="AH34" s="32">
        <v>4238</v>
      </c>
      <c r="AI34" s="32">
        <v>4103</v>
      </c>
      <c r="AJ34" s="32">
        <v>4142</v>
      </c>
      <c r="AK34" s="65">
        <f t="shared" si="1"/>
        <v>16722</v>
      </c>
      <c r="AS34" s="22"/>
      <c r="AT34" s="108">
        <v>4108</v>
      </c>
      <c r="AU34" s="108"/>
      <c r="AV34" s="86" t="e">
        <f>#REF!</f>
        <v>#REF!</v>
      </c>
    </row>
    <row r="35" spans="1:51">
      <c r="A35" t="s">
        <v>3</v>
      </c>
      <c r="C35" s="12"/>
      <c r="D35" s="12"/>
      <c r="E35" s="12"/>
      <c r="F35" s="12"/>
      <c r="G35" s="12"/>
      <c r="I35" s="12"/>
      <c r="J35" s="12"/>
      <c r="K35" s="12"/>
      <c r="L35" s="12"/>
      <c r="M35" s="12">
        <f>M36-[22]Sheet1!$Y$8</f>
        <v>2884</v>
      </c>
      <c r="O35" s="12"/>
      <c r="P35" s="12"/>
      <c r="Q35" s="21"/>
      <c r="R35" s="21"/>
      <c r="S35" s="20"/>
      <c r="T35" s="20"/>
      <c r="U35" s="20"/>
      <c r="V35" s="20"/>
      <c r="W35" s="20"/>
      <c r="X35" s="20"/>
      <c r="Y35" s="20"/>
      <c r="AA35" s="19"/>
      <c r="AB35" s="24"/>
      <c r="AC35" s="19"/>
      <c r="AD35" s="19"/>
      <c r="AE35" s="19"/>
      <c r="AG35" s="53"/>
      <c r="AH35" s="19"/>
      <c r="AI35" s="19"/>
      <c r="AJ35" s="24"/>
      <c r="AS35" s="22"/>
      <c r="AT35" s="109"/>
      <c r="AU35" s="109"/>
      <c r="AV35" s="97"/>
    </row>
    <row r="36" spans="1:51">
      <c r="B36" t="s">
        <v>10</v>
      </c>
      <c r="C36" s="18">
        <f>C13-C14-C23-C26-C29</f>
        <v>14897</v>
      </c>
      <c r="D36" s="18">
        <f>D13-D14-D23-D26-D29</f>
        <v>17744</v>
      </c>
      <c r="E36" s="18">
        <f>E13-E14-E23-E26-E29</f>
        <v>17874</v>
      </c>
      <c r="F36" s="18">
        <f>F13-F14-F23-F26-F29</f>
        <v>18553</v>
      </c>
      <c r="G36" s="18">
        <f>G13-G14-G23-G26-G29</f>
        <v>69068</v>
      </c>
      <c r="H36" s="19"/>
      <c r="I36" s="18">
        <f>I13-I14-I23-I26-I29</f>
        <v>20440</v>
      </c>
      <c r="J36" s="18">
        <f>J13-J14-J23-J26-J29</f>
        <v>22675</v>
      </c>
      <c r="K36" s="18">
        <f>K13-K14-K23-K26-K29</f>
        <v>27719</v>
      </c>
      <c r="L36" s="18">
        <f>L13-L14-L23-L26-L29</f>
        <v>30600</v>
      </c>
      <c r="M36" s="18">
        <f>M13-M14-M23-M26-M29</f>
        <v>101434</v>
      </c>
      <c r="O36" s="18">
        <f>O13-O14-O23-O26-O29</f>
        <v>33429</v>
      </c>
      <c r="P36" s="22">
        <f>P13-P14-P23-P26-P29</f>
        <v>40035</v>
      </c>
      <c r="Q36" s="22">
        <f>Q13-Q14-Q23-Q26-Q29</f>
        <v>46797</v>
      </c>
      <c r="R36" s="22">
        <f>R13-R14-R23-R26-R29</f>
        <v>52997</v>
      </c>
      <c r="S36" s="22">
        <f>S13-S14-S23-S26-S29</f>
        <v>173258</v>
      </c>
      <c r="T36" s="22"/>
      <c r="U36" s="22">
        <f>U13-U14-U23-U26-U29</f>
        <v>58830</v>
      </c>
      <c r="V36" s="22">
        <f>V13-V14-V23-V26-V29</f>
        <v>65567</v>
      </c>
      <c r="W36" s="22">
        <f>W13-W14-W23-W26-W29</f>
        <v>71922</v>
      </c>
      <c r="X36" s="22">
        <f>X13-X14-X23-X26-X29</f>
        <v>86880</v>
      </c>
      <c r="Y36" s="22">
        <f>Y13-Y14-Y23-Y26-Y29</f>
        <v>283199</v>
      </c>
      <c r="AA36" s="22">
        <f>AA13-AA14-AA23-AA26-AA29</f>
        <v>87238</v>
      </c>
      <c r="AB36" s="22">
        <f>AB13-AB14-AB23-AB26-AB29</f>
        <v>92723</v>
      </c>
      <c r="AC36" s="22">
        <f>AC13-AC14-AC23-AC26-AC29</f>
        <v>90461</v>
      </c>
      <c r="AD36" s="22">
        <f>AD13-AD14-AD23-AD26-AD29</f>
        <v>100331</v>
      </c>
      <c r="AE36" s="22">
        <f>AE13-AE14-AE23-AE26-AE29</f>
        <v>370753</v>
      </c>
      <c r="AG36" s="54">
        <f>AG13-AG14-AG23-AG26-AG29</f>
        <v>100317</v>
      </c>
      <c r="AH36" s="22">
        <f>AH13-AH14-AH23-AH26-AH29</f>
        <v>97392</v>
      </c>
      <c r="AI36" s="22" t="e">
        <f>AI13-AI14-AI23-AI26-AI29</f>
        <v>#REF!</v>
      </c>
      <c r="AJ36" s="22">
        <f>AJ13-AJ14-AJ23-AJ26-AJ29</f>
        <v>111593</v>
      </c>
      <c r="AK36" s="22" t="e">
        <f>AK13-AK14-AK23-AK26-AK29</f>
        <v>#REF!</v>
      </c>
      <c r="AS36" s="22"/>
      <c r="AT36" s="22">
        <f>AT13-AT14-AT23-AT26-AT29</f>
        <v>118118</v>
      </c>
      <c r="AU36" s="22">
        <f>AU13-AU14-AU23-AU26-AU29</f>
        <v>0</v>
      </c>
      <c r="AV36" s="84" t="e">
        <f>AV13-AV14-AV23-AV26-AV29</f>
        <v>#REF!</v>
      </c>
    </row>
    <row r="37" spans="1:51" s="25" customFormat="1">
      <c r="B37" s="25" t="s">
        <v>18</v>
      </c>
      <c r="C37" s="26">
        <f>C36/C13</f>
        <v>0.30799925569086362</v>
      </c>
      <c r="D37" s="26">
        <f>D36/D13</f>
        <v>0.34938762651124328</v>
      </c>
      <c r="E37" s="26">
        <f>E36/E13</f>
        <v>0.33543519873888078</v>
      </c>
      <c r="F37" s="26">
        <f>F36/F13</f>
        <v>0.32223495901069893</v>
      </c>
      <c r="G37" s="26">
        <f>G36/G13</f>
        <v>0.32887174725614837</v>
      </c>
      <c r="I37" s="26">
        <f>I36/I13</f>
        <v>0.34012247071352503</v>
      </c>
      <c r="J37" s="26">
        <f>J36/J13</f>
        <v>0.35074015065971631</v>
      </c>
      <c r="K37" s="26">
        <f>K36/K13</f>
        <v>0.36610621689802281</v>
      </c>
      <c r="L37" s="26">
        <f>L36/L13</f>
        <v>0.37020458037431797</v>
      </c>
      <c r="M37" s="26">
        <f>M36/M13</f>
        <v>0.35827843809052856</v>
      </c>
      <c r="O37" s="26">
        <f>O36/O13</f>
        <v>0.36805945499587117</v>
      </c>
      <c r="P37" s="26">
        <f>P36/P13</f>
        <v>0.3977684825482618</v>
      </c>
      <c r="Q37" s="33">
        <f>Q36/Q13</f>
        <v>0.41972285752724336</v>
      </c>
      <c r="R37" s="33">
        <f>R36/R13</f>
        <v>0.42160489407571816</v>
      </c>
      <c r="S37" s="33">
        <f>S36/S13</f>
        <v>0.40417382054344581</v>
      </c>
      <c r="T37" s="33"/>
      <c r="U37" s="33">
        <f>ROUND(U36/U13,2)</f>
        <v>0.42</v>
      </c>
      <c r="V37" s="33">
        <f>ROUND(V36/V13,2)</f>
        <v>0.43</v>
      </c>
      <c r="W37" s="33">
        <f>ROUND(W36/W13,2)</f>
        <v>0.45</v>
      </c>
      <c r="X37" s="33">
        <f>ROUND(X36/X13,2)</f>
        <v>0.47</v>
      </c>
      <c r="Y37" s="33">
        <f>ROUND(Y36/Y13,2)</f>
        <v>0.44</v>
      </c>
      <c r="AA37" s="33">
        <f>ROUND(AA36/AA13,2)</f>
        <v>0.47</v>
      </c>
      <c r="AB37" s="33">
        <f>ROUND(AB36/AB13,2)</f>
        <v>0.48</v>
      </c>
      <c r="AC37" s="33">
        <f>ROUND(AC36/AC13,2)</f>
        <v>0.46</v>
      </c>
      <c r="AD37" s="33">
        <f>ROUND(AD36/AD13,2)</f>
        <v>0.47</v>
      </c>
      <c r="AE37" s="33">
        <f>ROUND(AE36/AE13,2)</f>
        <v>0.47</v>
      </c>
      <c r="AG37" s="33">
        <f>ROUND(AG36/AG13,2)</f>
        <v>0.48</v>
      </c>
      <c r="AH37" s="33">
        <f>ROUND(AH36/AH13,2)</f>
        <v>0.48</v>
      </c>
      <c r="AI37" s="33" t="e">
        <f>ROUND(AI36/AI13,2)</f>
        <v>#REF!</v>
      </c>
      <c r="AJ37" s="33">
        <f>ROUND(AJ36/AJ13,2)</f>
        <v>0.47</v>
      </c>
      <c r="AK37" s="33" t="e">
        <f>ROUND(AK36/AK13,2)</f>
        <v>#REF!</v>
      </c>
      <c r="AN37" s="49"/>
      <c r="AO37" s="49"/>
      <c r="AP37" s="49"/>
      <c r="AQ37" s="49"/>
      <c r="AS37" s="22"/>
      <c r="AT37" s="33">
        <f>ROUND(AT36/AT13,2)</f>
        <v>0.49</v>
      </c>
      <c r="AU37" s="33" t="e">
        <f>ROUND(AU36/AU13,2)</f>
        <v>#DIV/0!</v>
      </c>
      <c r="AV37" s="85" t="e">
        <f>ROUND(AV36/AV13,2)</f>
        <v>#REF!</v>
      </c>
    </row>
    <row r="38" spans="1:51">
      <c r="C38" s="12"/>
      <c r="D38" s="12"/>
      <c r="E38" s="12"/>
      <c r="F38" s="12"/>
      <c r="G38" s="12"/>
      <c r="I38" s="12"/>
      <c r="J38" s="12"/>
      <c r="K38" s="12"/>
      <c r="L38" s="12"/>
      <c r="M38" s="12"/>
      <c r="O38" s="12"/>
      <c r="P38" s="12"/>
      <c r="Q38" s="21"/>
      <c r="R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G38" s="73"/>
      <c r="AH38" s="21"/>
      <c r="AI38" s="21"/>
      <c r="AJ38" s="21"/>
      <c r="AK38" s="21"/>
      <c r="AM38" t="s">
        <v>72</v>
      </c>
      <c r="AN38" s="18">
        <v>73122</v>
      </c>
      <c r="AO38" s="18">
        <v>78073</v>
      </c>
      <c r="AS38" s="22"/>
      <c r="AT38" s="110"/>
      <c r="AU38" s="110"/>
      <c r="AV38" s="88"/>
    </row>
    <row r="39" spans="1:51">
      <c r="A39" t="s">
        <v>44</v>
      </c>
      <c r="C39" s="18">
        <f>C25+C28+C32+C34</f>
        <v>27913</v>
      </c>
      <c r="D39" s="18">
        <f>D25+D28+D32+D34</f>
        <v>27076</v>
      </c>
      <c r="E39" s="18">
        <f>E25+E28+E32+E34</f>
        <v>28073</v>
      </c>
      <c r="F39" s="18">
        <f>F25+F28+F32+F34</f>
        <v>31836</v>
      </c>
      <c r="G39" s="18">
        <f>G25+G28+G32+G34</f>
        <v>114898</v>
      </c>
      <c r="H39" s="19"/>
      <c r="I39" s="18">
        <f>I25+I28+I32+I34</f>
        <v>32225</v>
      </c>
      <c r="J39" s="18">
        <f>J25+J28+J32+J34</f>
        <v>34731</v>
      </c>
      <c r="K39" s="18">
        <f>K25+K28+K32+K34</f>
        <v>41620</v>
      </c>
      <c r="L39" s="18">
        <f>L25+L28+L32+L34</f>
        <v>45509</v>
      </c>
      <c r="M39" s="18">
        <f>M25+M28+M32+M34</f>
        <v>154085</v>
      </c>
      <c r="O39" s="18">
        <f>O25+O28+O32+O34</f>
        <v>53860</v>
      </c>
      <c r="P39" s="18">
        <f>P25+P28+P32+P34</f>
        <v>62161</v>
      </c>
      <c r="Q39" s="22">
        <f>Q25+Q28+Q32+Q34</f>
        <v>64750.2</v>
      </c>
      <c r="R39" s="22">
        <f>R25+R28+R32+R34</f>
        <v>70695</v>
      </c>
      <c r="S39" s="22">
        <f>S25+S28+S32+S34</f>
        <v>251466.2</v>
      </c>
      <c r="T39" s="22"/>
      <c r="U39" s="22">
        <f>U25+U28+U32+U34+U33</f>
        <v>77643</v>
      </c>
      <c r="V39" s="22">
        <f>V25+V28+V32+V34+V33</f>
        <v>81935</v>
      </c>
      <c r="W39" s="22">
        <f>W25+W28+W32+W34</f>
        <v>81658</v>
      </c>
      <c r="X39" s="22">
        <f>X25+X28+X32+X34</f>
        <v>82798</v>
      </c>
      <c r="Y39" s="22">
        <f>Y25+Y28+Y32+Y34+Y33</f>
        <v>324034</v>
      </c>
      <c r="AA39" s="22">
        <f>AA25+AA28+AA32+AA34+AA33</f>
        <v>82104</v>
      </c>
      <c r="AB39" s="22">
        <f>AB25+AB28+AB32+AB34+AB33</f>
        <v>88001</v>
      </c>
      <c r="AC39" s="22">
        <f>AC25+AC28+AC32+AC34+AC33</f>
        <v>88919</v>
      </c>
      <c r="AD39" s="22">
        <f>AD25+AD28+AD32+AD34+AD33</f>
        <v>97026</v>
      </c>
      <c r="AE39" s="22">
        <f>AE25+AE28+AE32+AE34+AE33</f>
        <v>356050</v>
      </c>
      <c r="AG39" s="54">
        <f>AG25+AG28+AG32+AG34+AG33</f>
        <v>93887</v>
      </c>
      <c r="AH39" s="54">
        <f>AH25+AH28+AH32+AH34+AH33</f>
        <v>90197</v>
      </c>
      <c r="AI39" s="54">
        <f>AI25+AI28+AI32+AI34+AI33</f>
        <v>93768</v>
      </c>
      <c r="AJ39" s="54">
        <f>AJ25+AJ28+AJ32+AJ34+AJ33</f>
        <v>108503</v>
      </c>
      <c r="AK39" s="54">
        <f>AK25+AK28+AK32+AK34+AK33</f>
        <v>386355</v>
      </c>
      <c r="AN39" s="18">
        <f>AI29+AI26+AI23</f>
        <v>72650</v>
      </c>
      <c r="AO39" s="18">
        <f>AJ29+AJ26+AJ23</f>
        <v>84333</v>
      </c>
      <c r="AS39" s="22"/>
      <c r="AT39" s="54">
        <f>AT25+AT28+AT32+AT34+AT33</f>
        <v>106505</v>
      </c>
      <c r="AU39" s="54">
        <f>AU25+AU28+AU32+AU34+AU33</f>
        <v>0</v>
      </c>
      <c r="AV39" s="84" t="e">
        <f>AV25+AV28+AV32+AV34+AV33</f>
        <v>#REF!</v>
      </c>
      <c r="AW39" s="19"/>
      <c r="AX39" s="29">
        <v>2500000</v>
      </c>
      <c r="AY39" s="17">
        <f>AX39+AE39+AE17+SUM(AG39:AI39)+SUM(AG17:AI17)</f>
        <v>3538870</v>
      </c>
    </row>
    <row r="40" spans="1:51">
      <c r="A40" t="s">
        <v>5</v>
      </c>
      <c r="C40" s="18">
        <f>C20-C39</f>
        <v>8308</v>
      </c>
      <c r="D40" s="18">
        <f>D20-D39</f>
        <v>12627</v>
      </c>
      <c r="E40" s="18">
        <f>E20-E39</f>
        <v>13465</v>
      </c>
      <c r="F40" s="18">
        <f>F20-F39</f>
        <v>14567</v>
      </c>
      <c r="G40" s="18">
        <f>G20-G39</f>
        <v>48967</v>
      </c>
      <c r="H40" s="19"/>
      <c r="I40" s="18">
        <f>I20-I39</f>
        <v>16347</v>
      </c>
      <c r="J40" s="18">
        <f>J20-J39</f>
        <v>17166</v>
      </c>
      <c r="K40" s="18">
        <f>K20-K39</f>
        <v>18798</v>
      </c>
      <c r="L40" s="18">
        <f>L20-L39</f>
        <v>21064</v>
      </c>
      <c r="M40" s="18">
        <f>M20-M39</f>
        <v>73375</v>
      </c>
      <c r="O40" s="18">
        <f>O20-O39</f>
        <v>17649</v>
      </c>
      <c r="P40" s="18">
        <f>P20-P39</f>
        <v>17293</v>
      </c>
      <c r="Q40" s="22">
        <f>Q20-Q39</f>
        <v>21760.800000000003</v>
      </c>
      <c r="R40" s="22">
        <f>R20-R39</f>
        <v>26403</v>
      </c>
      <c r="S40" s="22">
        <f>S20-S39</f>
        <v>83105.799999999988</v>
      </c>
      <c r="T40" s="22"/>
      <c r="U40" s="22">
        <f>U20-U39</f>
        <v>27151</v>
      </c>
      <c r="V40" s="22">
        <f>V20-V39</f>
        <v>30960</v>
      </c>
      <c r="W40" s="22">
        <f>W20-W39</f>
        <v>35771</v>
      </c>
      <c r="X40" s="22">
        <f>X20-X39</f>
        <v>51046</v>
      </c>
      <c r="Y40" s="22">
        <f>Y20-Y39</f>
        <v>144928</v>
      </c>
      <c r="AA40" s="22">
        <f>AA20-AA39</f>
        <v>53340</v>
      </c>
      <c r="AB40" s="22">
        <f>AB20-AB39</f>
        <v>52315</v>
      </c>
      <c r="AC40" s="22">
        <f>AC20-AC39</f>
        <v>51769</v>
      </c>
      <c r="AD40" s="22">
        <f>AD20-AD39</f>
        <v>54840</v>
      </c>
      <c r="AE40" s="22">
        <f>AE20-AE39</f>
        <v>212264</v>
      </c>
      <c r="AG40" s="54">
        <f>AG20-AG39</f>
        <v>56119</v>
      </c>
      <c r="AH40" s="22">
        <f>AH20-AH39</f>
        <v>54394</v>
      </c>
      <c r="AI40" s="22" t="e">
        <f>AI20-AI39</f>
        <v>#REF!</v>
      </c>
      <c r="AJ40" s="22">
        <f>AJ20-AJ39</f>
        <v>62222</v>
      </c>
      <c r="AK40" s="22" t="e">
        <f>AK20-AK39</f>
        <v>#REF!</v>
      </c>
      <c r="AN40" s="18">
        <f>AN38-AN39</f>
        <v>472</v>
      </c>
      <c r="AO40" s="18">
        <f>AO38-AO39</f>
        <v>-6260</v>
      </c>
      <c r="AS40" s="22"/>
      <c r="AT40" s="22">
        <f>AT20-AT39</f>
        <v>66050</v>
      </c>
      <c r="AU40" s="22">
        <f>AU20-AU39</f>
        <v>0</v>
      </c>
      <c r="AV40" s="84" t="e">
        <f>AV20-AV39</f>
        <v>#REF!</v>
      </c>
    </row>
    <row r="41" spans="1:51">
      <c r="C41" s="12"/>
      <c r="D41" s="12"/>
      <c r="E41" s="12"/>
      <c r="F41" s="12"/>
      <c r="G41" s="12"/>
      <c r="I41" s="12"/>
      <c r="J41" s="12"/>
      <c r="K41" s="12"/>
      <c r="L41" s="12"/>
      <c r="M41" s="12"/>
      <c r="O41" s="12"/>
      <c r="P41" s="12"/>
      <c r="Q41" s="21"/>
      <c r="R41" s="21"/>
      <c r="S41" s="20"/>
      <c r="T41" s="20"/>
      <c r="U41" s="20"/>
      <c r="V41" s="20"/>
      <c r="W41" s="20"/>
      <c r="X41" s="20"/>
      <c r="Y41" s="20"/>
      <c r="AA41" s="20"/>
      <c r="AB41" s="24"/>
      <c r="AC41" s="20"/>
      <c r="AD41" s="20"/>
      <c r="AE41" s="20"/>
      <c r="AG41" s="74"/>
      <c r="AH41" s="20"/>
      <c r="AI41" s="20"/>
      <c r="AJ41" s="20"/>
      <c r="AS41" s="22"/>
      <c r="AT41" s="111"/>
      <c r="AU41" s="111"/>
      <c r="AV41" s="87"/>
    </row>
    <row r="42" spans="1:51">
      <c r="A42" t="s">
        <v>54</v>
      </c>
      <c r="C42" s="18">
        <v>-3158</v>
      </c>
      <c r="D42" s="18">
        <v>-2045</v>
      </c>
      <c r="E42" s="18">
        <v>-1533</v>
      </c>
      <c r="F42" s="18">
        <v>-1319</v>
      </c>
      <c r="G42" s="18">
        <f t="shared" ref="G42:G47" si="4">SUM(C42:F42)</f>
        <v>-8055</v>
      </c>
      <c r="H42" s="19"/>
      <c r="I42" s="18">
        <v>-1013</v>
      </c>
      <c r="J42" s="18">
        <v>-770</v>
      </c>
      <c r="K42" s="18">
        <v>-567</v>
      </c>
      <c r="L42" s="18">
        <v>1283</v>
      </c>
      <c r="M42" s="18">
        <f t="shared" ref="M42:M47" si="5">SUM(I42:L42)</f>
        <v>-1067</v>
      </c>
      <c r="O42" s="18">
        <v>2658</v>
      </c>
      <c r="P42" s="18">
        <v>3336</v>
      </c>
      <c r="Q42" s="22">
        <v>3970</v>
      </c>
      <c r="R42" s="22">
        <v>4567</v>
      </c>
      <c r="S42" s="22">
        <f>SUM(O42:R42)+1</f>
        <v>14532</v>
      </c>
      <c r="T42" s="22"/>
      <c r="U42" s="22">
        <v>4732</v>
      </c>
      <c r="V42" s="22">
        <v>5243</v>
      </c>
      <c r="W42" s="22">
        <v>5913</v>
      </c>
      <c r="X42" s="22">
        <v>6841</v>
      </c>
      <c r="Y42" s="22">
        <f t="shared" ref="Y42:Y48" si="6">SUM(U42:X42)</f>
        <v>22729</v>
      </c>
      <c r="AA42" s="22">
        <v>7331</v>
      </c>
      <c r="AB42" s="22">
        <v>4780</v>
      </c>
      <c r="AC42" s="22">
        <v>4994</v>
      </c>
      <c r="AD42" s="22">
        <v>4862</v>
      </c>
      <c r="AE42" s="22">
        <f>SUM(AA42:AD42)</f>
        <v>21967</v>
      </c>
      <c r="AG42" s="54">
        <v>4030</v>
      </c>
      <c r="AH42" s="22">
        <v>3454</v>
      </c>
      <c r="AI42" s="22">
        <v>2807</v>
      </c>
      <c r="AJ42" s="22">
        <v>2841</v>
      </c>
      <c r="AK42" s="19">
        <f>SUM(AG42:AJ42)</f>
        <v>13132</v>
      </c>
      <c r="AS42" s="22"/>
      <c r="AT42" s="106">
        <v>2662</v>
      </c>
      <c r="AU42" s="106"/>
      <c r="AV42" s="84" t="e">
        <f>-#REF!</f>
        <v>#REF!</v>
      </c>
    </row>
    <row r="43" spans="1:51">
      <c r="A43" t="s">
        <v>34</v>
      </c>
      <c r="C43" s="18">
        <v>-2018</v>
      </c>
      <c r="D43" s="18">
        <v>-3264</v>
      </c>
      <c r="E43" s="18">
        <v>-634</v>
      </c>
      <c r="F43" s="18">
        <v>-852</v>
      </c>
      <c r="G43" s="18">
        <f t="shared" si="4"/>
        <v>-6768</v>
      </c>
      <c r="H43" s="19"/>
      <c r="I43" s="18">
        <v>0</v>
      </c>
      <c r="J43" s="18">
        <v>0</v>
      </c>
      <c r="K43" s="18">
        <v>-1370</v>
      </c>
      <c r="L43" s="18">
        <v>0</v>
      </c>
      <c r="M43" s="18">
        <f t="shared" si="5"/>
        <v>-1370</v>
      </c>
      <c r="O43" s="18">
        <v>0</v>
      </c>
      <c r="P43" s="18">
        <v>0</v>
      </c>
      <c r="Q43" s="21">
        <v>0</v>
      </c>
      <c r="R43" s="21">
        <v>0</v>
      </c>
      <c r="S43" s="22">
        <f t="shared" ref="S43:S48" si="7">SUM(O43:R43)</f>
        <v>0</v>
      </c>
      <c r="T43" s="22"/>
      <c r="U43" s="22">
        <v>-1</v>
      </c>
      <c r="V43" s="22">
        <v>0</v>
      </c>
      <c r="W43" s="22">
        <v>-2</v>
      </c>
      <c r="X43" s="22">
        <v>0</v>
      </c>
      <c r="Y43" s="22">
        <f t="shared" si="6"/>
        <v>-3</v>
      </c>
      <c r="AA43" s="22">
        <v>0</v>
      </c>
      <c r="AB43" s="22">
        <v>0</v>
      </c>
      <c r="AC43" s="22">
        <v>0</v>
      </c>
      <c r="AD43" s="22">
        <v>0</v>
      </c>
      <c r="AE43" s="22">
        <f>SUM(AA43:AD43)</f>
        <v>0</v>
      </c>
      <c r="AG43" s="54">
        <v>0</v>
      </c>
      <c r="AH43" s="22">
        <v>0</v>
      </c>
      <c r="AI43" s="22">
        <v>0</v>
      </c>
      <c r="AJ43" s="22">
        <v>0</v>
      </c>
      <c r="AK43" s="19">
        <f t="shared" ref="AK43:AK48" si="8">SUM(AG43:AJ43)</f>
        <v>0</v>
      </c>
      <c r="AS43" s="22"/>
      <c r="AT43" s="106">
        <v>0</v>
      </c>
      <c r="AU43" s="106"/>
      <c r="AV43" s="84"/>
    </row>
    <row r="44" spans="1:51">
      <c r="A44" t="s">
        <v>64</v>
      </c>
      <c r="C44" s="18">
        <v>11</v>
      </c>
      <c r="D44" s="18">
        <v>0</v>
      </c>
      <c r="E44" s="18">
        <v>-79</v>
      </c>
      <c r="F44" s="18">
        <v>-1</v>
      </c>
      <c r="G44" s="18">
        <f t="shared" si="4"/>
        <v>-69</v>
      </c>
      <c r="H44" s="19"/>
      <c r="I44" s="18">
        <v>0</v>
      </c>
      <c r="J44" s="18">
        <v>0</v>
      </c>
      <c r="K44" s="18">
        <v>-27</v>
      </c>
      <c r="L44" s="18">
        <v>0</v>
      </c>
      <c r="M44" s="18">
        <f t="shared" si="5"/>
        <v>-27</v>
      </c>
      <c r="O44" s="18">
        <v>257</v>
      </c>
      <c r="P44" s="18">
        <v>2</v>
      </c>
      <c r="Q44" s="21">
        <v>0</v>
      </c>
      <c r="R44" s="22">
        <v>2</v>
      </c>
      <c r="S44" s="22">
        <f t="shared" si="7"/>
        <v>261</v>
      </c>
      <c r="T44" s="22"/>
      <c r="U44" s="22">
        <v>0</v>
      </c>
      <c r="V44" s="22">
        <v>0</v>
      </c>
      <c r="W44" s="22">
        <v>1</v>
      </c>
      <c r="X44" s="22">
        <v>23</v>
      </c>
      <c r="Y44" s="22">
        <f t="shared" si="6"/>
        <v>24</v>
      </c>
      <c r="AA44" s="22">
        <v>208</v>
      </c>
      <c r="AB44" s="22">
        <v>64</v>
      </c>
      <c r="AC44" s="22">
        <v>1</v>
      </c>
      <c r="AD44" s="22">
        <v>-430</v>
      </c>
      <c r="AE44" s="22">
        <f>SUM(AA44:AD44)</f>
        <v>-157</v>
      </c>
      <c r="AG44" s="54">
        <v>455</v>
      </c>
      <c r="AH44" s="22">
        <v>0</v>
      </c>
      <c r="AI44" s="22">
        <v>0</v>
      </c>
      <c r="AJ44" s="22">
        <v>2</v>
      </c>
      <c r="AK44" s="19">
        <f t="shared" si="8"/>
        <v>457</v>
      </c>
      <c r="AS44" s="22"/>
      <c r="AT44" s="106">
        <v>0</v>
      </c>
      <c r="AU44" s="106"/>
      <c r="AV44" s="84"/>
    </row>
    <row r="45" spans="1:51">
      <c r="A45" t="s">
        <v>55</v>
      </c>
      <c r="C45" s="18">
        <v>-138</v>
      </c>
      <c r="D45" s="18">
        <v>-85</v>
      </c>
      <c r="E45" s="18">
        <v>101</v>
      </c>
      <c r="F45" s="18">
        <v>1183</v>
      </c>
      <c r="G45" s="18">
        <f t="shared" si="4"/>
        <v>1061</v>
      </c>
      <c r="H45" s="19"/>
      <c r="I45" s="18">
        <v>-726</v>
      </c>
      <c r="J45" s="18">
        <v>77</v>
      </c>
      <c r="K45" s="18">
        <v>-63</v>
      </c>
      <c r="L45" s="18">
        <v>205</v>
      </c>
      <c r="M45" s="18">
        <f t="shared" si="5"/>
        <v>-507</v>
      </c>
      <c r="O45" s="18">
        <v>186</v>
      </c>
      <c r="P45" s="18">
        <v>475</v>
      </c>
      <c r="Q45" s="22">
        <v>-448</v>
      </c>
      <c r="R45" s="22">
        <v>357</v>
      </c>
      <c r="S45" s="22">
        <f t="shared" si="7"/>
        <v>570</v>
      </c>
      <c r="T45" s="22"/>
      <c r="U45" s="22">
        <v>-204</v>
      </c>
      <c r="V45" s="22">
        <v>-572</v>
      </c>
      <c r="W45" s="22">
        <v>1273</v>
      </c>
      <c r="X45" s="22">
        <v>30</v>
      </c>
      <c r="Y45" s="22">
        <f t="shared" si="6"/>
        <v>527</v>
      </c>
      <c r="AA45" s="22">
        <v>476</v>
      </c>
      <c r="AB45" s="22">
        <v>-970</v>
      </c>
      <c r="AC45" s="22">
        <v>154</v>
      </c>
      <c r="AD45" s="22">
        <v>801</v>
      </c>
      <c r="AE45" s="22">
        <f>SUM(AA45:AD45)</f>
        <v>461</v>
      </c>
      <c r="AG45" s="54">
        <v>1134</v>
      </c>
      <c r="AH45" s="22">
        <v>184</v>
      </c>
      <c r="AI45" s="22">
        <v>-659</v>
      </c>
      <c r="AJ45" s="22">
        <v>-496</v>
      </c>
      <c r="AK45" s="19">
        <f t="shared" si="8"/>
        <v>163</v>
      </c>
      <c r="AS45" s="22"/>
      <c r="AT45" s="106">
        <v>-75</v>
      </c>
      <c r="AU45" s="106"/>
      <c r="AV45" s="84"/>
    </row>
    <row r="46" spans="1:51">
      <c r="A46" t="s">
        <v>56</v>
      </c>
      <c r="C46" s="18">
        <f>SUM(C40:C45)</f>
        <v>3005</v>
      </c>
      <c r="D46" s="18">
        <f>SUM(D40:D45)</f>
        <v>7233</v>
      </c>
      <c r="E46" s="18">
        <f>SUM(E40:E45)</f>
        <v>11320</v>
      </c>
      <c r="F46" s="18">
        <f>SUM(F40:F45)</f>
        <v>13578</v>
      </c>
      <c r="G46" s="18">
        <f t="shared" si="4"/>
        <v>35136</v>
      </c>
      <c r="H46" s="19"/>
      <c r="I46" s="18">
        <f>SUM(I40:I45)</f>
        <v>14608</v>
      </c>
      <c r="J46" s="18">
        <f>SUM(J40:J45)</f>
        <v>16473</v>
      </c>
      <c r="K46" s="18">
        <f>SUM(K40:K45)</f>
        <v>16771</v>
      </c>
      <c r="L46" s="18">
        <f>SUM(L40:L45)</f>
        <v>22552</v>
      </c>
      <c r="M46" s="18">
        <f>SUM(M40:M45)</f>
        <v>70404</v>
      </c>
      <c r="O46" s="18">
        <f>SUM(O40:O45)</f>
        <v>20750</v>
      </c>
      <c r="P46" s="18">
        <f>SUM(P40:P45)</f>
        <v>21106</v>
      </c>
      <c r="Q46" s="22">
        <f>SUM(Q40:Q45)</f>
        <v>25282.800000000003</v>
      </c>
      <c r="R46" s="22">
        <f>SUM(R40:R45)</f>
        <v>31329</v>
      </c>
      <c r="S46" s="22">
        <f>SUM(S40:S45)</f>
        <v>98468.799999999988</v>
      </c>
      <c r="T46" s="22"/>
      <c r="U46" s="22">
        <f>SUM(U40:U45)</f>
        <v>31678</v>
      </c>
      <c r="V46" s="22">
        <f>SUM(V40:V45)</f>
        <v>35631</v>
      </c>
      <c r="W46" s="22">
        <f>SUM(W40:W45)</f>
        <v>42956</v>
      </c>
      <c r="X46" s="22">
        <f>SUM(X40:X45)</f>
        <v>57940</v>
      </c>
      <c r="Y46" s="22">
        <f t="shared" si="6"/>
        <v>168205</v>
      </c>
      <c r="AA46" s="22">
        <f>SUM(AA40:AA45)</f>
        <v>61355</v>
      </c>
      <c r="AB46" s="22">
        <f>SUM(AB40:AB45)</f>
        <v>56189</v>
      </c>
      <c r="AC46" s="22">
        <f>SUM(AC40:AC45)</f>
        <v>56918</v>
      </c>
      <c r="AD46" s="22">
        <f>SUM(AD40:AD45)</f>
        <v>60073</v>
      </c>
      <c r="AE46" s="22">
        <f>SUM(AE40:AE45)</f>
        <v>234535</v>
      </c>
      <c r="AG46" s="54">
        <f>SUM(AG40:AG45)</f>
        <v>61738</v>
      </c>
      <c r="AH46" s="22">
        <f>SUM(AH40:AH45)</f>
        <v>58032</v>
      </c>
      <c r="AI46" s="22" t="e">
        <f>SUM(AI40:AI45)</f>
        <v>#REF!</v>
      </c>
      <c r="AJ46" s="22">
        <f>SUM(AJ40:AJ45)</f>
        <v>64569</v>
      </c>
      <c r="AK46" s="19" t="e">
        <f t="shared" si="8"/>
        <v>#REF!</v>
      </c>
      <c r="AS46" s="22"/>
      <c r="AT46" s="22">
        <f>SUM(AT40:AT45)</f>
        <v>68637</v>
      </c>
      <c r="AU46" s="22">
        <f>SUM(AU40:AU45)</f>
        <v>0</v>
      </c>
      <c r="AV46" s="84" t="e">
        <f>SUM(AV40:AV45)</f>
        <v>#REF!</v>
      </c>
      <c r="AW46">
        <v>709</v>
      </c>
    </row>
    <row r="47" spans="1:51">
      <c r="A47" t="s">
        <v>57</v>
      </c>
      <c r="C47" s="31">
        <v>84</v>
      </c>
      <c r="D47" s="31">
        <v>430</v>
      </c>
      <c r="E47" s="31">
        <v>71</v>
      </c>
      <c r="F47" s="31">
        <v>187</v>
      </c>
      <c r="G47" s="31">
        <f t="shared" si="4"/>
        <v>772</v>
      </c>
      <c r="H47" s="19"/>
      <c r="I47" s="31">
        <v>529</v>
      </c>
      <c r="J47" s="31">
        <v>573</v>
      </c>
      <c r="K47" s="31">
        <v>-255489</v>
      </c>
      <c r="L47" s="31">
        <v>-3207</v>
      </c>
      <c r="M47" s="31">
        <f t="shared" si="5"/>
        <v>-257594</v>
      </c>
      <c r="O47" s="31">
        <v>9255</v>
      </c>
      <c r="P47" s="31">
        <v>9842</v>
      </c>
      <c r="Q47" s="32">
        <v>11264</v>
      </c>
      <c r="R47" s="32">
        <v>10706</v>
      </c>
      <c r="S47" s="32">
        <f>SUM(O47:R47)+1</f>
        <v>41068</v>
      </c>
      <c r="T47" s="38"/>
      <c r="U47" s="32">
        <v>12499</v>
      </c>
      <c r="V47" s="32">
        <v>13985</v>
      </c>
      <c r="W47" s="32">
        <v>18692</v>
      </c>
      <c r="X47" s="32">
        <v>22062</v>
      </c>
      <c r="Y47" s="32">
        <f t="shared" si="6"/>
        <v>67238</v>
      </c>
      <c r="AA47" s="32">
        <v>24444</v>
      </c>
      <c r="AB47" s="32">
        <v>21855</v>
      </c>
      <c r="AC47" s="32">
        <v>23558</v>
      </c>
      <c r="AD47" s="32">
        <v>19540</v>
      </c>
      <c r="AE47" s="32">
        <f>SUM(AA47:AD47)</f>
        <v>89397</v>
      </c>
      <c r="AF47" s="61"/>
      <c r="AG47" s="72">
        <v>24657</v>
      </c>
      <c r="AH47" s="32">
        <v>22025</v>
      </c>
      <c r="AI47" s="32">
        <v>20148</v>
      </c>
      <c r="AJ47" s="32">
        <v>24489</v>
      </c>
      <c r="AK47" s="65">
        <f t="shared" si="8"/>
        <v>91319</v>
      </c>
      <c r="AS47" s="22"/>
      <c r="AT47" s="108">
        <v>27759</v>
      </c>
      <c r="AU47" s="108"/>
      <c r="AV47" s="86" t="e">
        <f>#REF!</f>
        <v>#REF!</v>
      </c>
      <c r="AW47" s="61">
        <f>+AT47/AT46</f>
        <v>0.40443201188863148</v>
      </c>
    </row>
    <row r="48" spans="1:51">
      <c r="A48" t="s">
        <v>6</v>
      </c>
      <c r="C48" s="18">
        <f>C46-C47</f>
        <v>2921</v>
      </c>
      <c r="D48" s="18">
        <f>D46-D47</f>
        <v>6803</v>
      </c>
      <c r="E48" s="18">
        <f>E46-E47</f>
        <v>11249</v>
      </c>
      <c r="F48" s="18">
        <f>F46-F47</f>
        <v>13391</v>
      </c>
      <c r="G48" s="18">
        <f>G46-G47</f>
        <v>34364</v>
      </c>
      <c r="H48" s="19"/>
      <c r="I48" s="18">
        <f>I46-I47</f>
        <v>14079</v>
      </c>
      <c r="J48" s="18">
        <f>J46-J47</f>
        <v>15900</v>
      </c>
      <c r="K48" s="18">
        <f>K46-K47</f>
        <v>272260</v>
      </c>
      <c r="L48" s="18">
        <f>L46-L47</f>
        <v>25759</v>
      </c>
      <c r="M48" s="18">
        <f>M46-M47</f>
        <v>327998</v>
      </c>
      <c r="O48" s="18">
        <f>O46-O47</f>
        <v>11495</v>
      </c>
      <c r="P48" s="18">
        <f>P46-P47</f>
        <v>11264</v>
      </c>
      <c r="Q48" s="22">
        <f>Q46-Q47</f>
        <v>14018.800000000003</v>
      </c>
      <c r="R48" s="22">
        <f>R46-R47</f>
        <v>20623</v>
      </c>
      <c r="S48" s="22">
        <f t="shared" si="7"/>
        <v>57400.800000000003</v>
      </c>
      <c r="T48" s="22"/>
      <c r="U48" s="22">
        <f>U46-U47</f>
        <v>19179</v>
      </c>
      <c r="V48" s="22">
        <f>V46-V47</f>
        <v>21646</v>
      </c>
      <c r="W48" s="22">
        <f>W46-W47</f>
        <v>24264</v>
      </c>
      <c r="X48" s="22">
        <f>X46-X47</f>
        <v>35878</v>
      </c>
      <c r="Y48" s="22">
        <f t="shared" si="6"/>
        <v>100967</v>
      </c>
      <c r="AA48" s="22">
        <f>AA46-AA47</f>
        <v>36911</v>
      </c>
      <c r="AB48" s="22">
        <f>AB46-AB47</f>
        <v>34334</v>
      </c>
      <c r="AC48" s="22">
        <f>AC46-AC47</f>
        <v>33360</v>
      </c>
      <c r="AD48" s="22">
        <f>AD46-AD47</f>
        <v>40533</v>
      </c>
      <c r="AE48" s="22">
        <f>AE46-AE47</f>
        <v>145138</v>
      </c>
      <c r="AG48" s="54">
        <f>AG46-AG47</f>
        <v>37081</v>
      </c>
      <c r="AH48" s="22">
        <f>AH46-AH47</f>
        <v>36007</v>
      </c>
      <c r="AI48" s="22" t="e">
        <f>AI46-AI47</f>
        <v>#REF!</v>
      </c>
      <c r="AJ48" s="22">
        <f>AJ46-AJ47</f>
        <v>40080</v>
      </c>
      <c r="AK48" s="19" t="e">
        <f t="shared" si="8"/>
        <v>#REF!</v>
      </c>
      <c r="AS48" s="22"/>
      <c r="AT48" s="22">
        <f>AT46-AT47</f>
        <v>40878</v>
      </c>
      <c r="AU48" s="22">
        <f>AU46-AU47</f>
        <v>0</v>
      </c>
      <c r="AV48" s="84" t="e">
        <f>AV46-AV47</f>
        <v>#REF!</v>
      </c>
      <c r="AW48" s="124">
        <f>+AW46*(1-AW47)</f>
        <v>422.25770357096025</v>
      </c>
    </row>
    <row r="49" spans="1:48">
      <c r="C49" s="12"/>
      <c r="D49" s="12"/>
      <c r="E49" s="12"/>
      <c r="F49" s="12"/>
      <c r="G49" s="12"/>
      <c r="I49" s="12"/>
      <c r="J49" s="12"/>
      <c r="K49" s="12"/>
      <c r="L49" s="12"/>
      <c r="M49" s="12"/>
      <c r="O49" s="12"/>
      <c r="P49" s="12"/>
      <c r="Q49" s="21"/>
      <c r="R49" s="21"/>
      <c r="S49" s="20"/>
      <c r="T49" s="20"/>
      <c r="U49" s="20"/>
      <c r="V49" s="20"/>
      <c r="W49" s="20"/>
      <c r="X49" s="20"/>
      <c r="Y49" s="20"/>
      <c r="AA49" s="20"/>
      <c r="AB49" s="20"/>
      <c r="AC49" s="20"/>
      <c r="AD49" s="20"/>
      <c r="AE49" s="20"/>
      <c r="AG49" s="20"/>
      <c r="AH49" s="20"/>
      <c r="AI49" s="20"/>
      <c r="AJ49" s="20"/>
      <c r="AS49" s="22"/>
      <c r="AT49" s="111"/>
      <c r="AU49" s="111"/>
      <c r="AV49" s="87"/>
    </row>
    <row r="50" spans="1:48">
      <c r="B50" t="s">
        <v>40</v>
      </c>
      <c r="C50" s="31">
        <v>0</v>
      </c>
      <c r="D50" s="31">
        <v>500</v>
      </c>
      <c r="E50" s="31">
        <v>710</v>
      </c>
      <c r="F50" s="31">
        <v>710</v>
      </c>
      <c r="G50" s="31">
        <v>2851</v>
      </c>
      <c r="H50" s="18"/>
      <c r="I50" s="31">
        <v>710</v>
      </c>
      <c r="J50" s="31">
        <v>710</v>
      </c>
      <c r="K50" s="31">
        <v>1325</v>
      </c>
      <c r="L50" s="32">
        <v>710</v>
      </c>
      <c r="M50" s="31">
        <v>2841</v>
      </c>
      <c r="O50" s="32">
        <v>710</v>
      </c>
      <c r="P50" s="32">
        <v>710</v>
      </c>
      <c r="Q50" s="32">
        <v>710</v>
      </c>
      <c r="R50" s="32">
        <v>710</v>
      </c>
      <c r="S50" s="32">
        <v>2841</v>
      </c>
      <c r="T50" s="38"/>
      <c r="U50" s="32">
        <v>710</v>
      </c>
      <c r="V50" s="32">
        <v>710</v>
      </c>
      <c r="W50" s="32">
        <v>710</v>
      </c>
      <c r="X50" s="32">
        <v>710</v>
      </c>
      <c r="Y50" s="32">
        <v>2840</v>
      </c>
      <c r="AA50" s="32">
        <v>710</v>
      </c>
      <c r="AB50" s="32">
        <v>434</v>
      </c>
      <c r="AC50" s="32">
        <v>416</v>
      </c>
      <c r="AD50" s="32">
        <v>479</v>
      </c>
      <c r="AE50" s="32">
        <v>1757</v>
      </c>
      <c r="AG50" s="72">
        <v>426</v>
      </c>
      <c r="AH50" s="32">
        <v>441</v>
      </c>
      <c r="AI50" s="32">
        <v>439</v>
      </c>
      <c r="AJ50" s="32">
        <v>440</v>
      </c>
      <c r="AK50" s="65">
        <f>SUM(AG50:AJ50)</f>
        <v>1746</v>
      </c>
      <c r="AS50" s="22"/>
      <c r="AT50" s="108">
        <v>422</v>
      </c>
      <c r="AU50" s="108"/>
      <c r="AV50" s="86">
        <f>710*0.6</f>
        <v>426</v>
      </c>
    </row>
    <row r="51" spans="1:48">
      <c r="B51" t="s">
        <v>41</v>
      </c>
      <c r="C51" s="18">
        <f>C50+C48</f>
        <v>2921</v>
      </c>
      <c r="D51" s="18">
        <f>D50+D48</f>
        <v>7303</v>
      </c>
      <c r="E51" s="18">
        <f>E50+E48</f>
        <v>11959</v>
      </c>
      <c r="F51" s="18">
        <f>F50+F48</f>
        <v>14101</v>
      </c>
      <c r="G51" s="18">
        <f>G50+G48</f>
        <v>37215</v>
      </c>
      <c r="H51" s="18"/>
      <c r="I51" s="18">
        <f>I50+I48</f>
        <v>14789</v>
      </c>
      <c r="J51" s="18">
        <f>J50+J48</f>
        <v>16610</v>
      </c>
      <c r="K51" s="18">
        <f>K50+K48</f>
        <v>273585</v>
      </c>
      <c r="L51" s="18">
        <f>L50+L48</f>
        <v>26469</v>
      </c>
      <c r="M51" s="18">
        <f>M50+M48</f>
        <v>330839</v>
      </c>
      <c r="O51" s="18">
        <f>O50+O48</f>
        <v>12205</v>
      </c>
      <c r="P51" s="18">
        <f>P50+P48</f>
        <v>11974</v>
      </c>
      <c r="Q51" s="22">
        <f>Q50+Q48</f>
        <v>14728.800000000003</v>
      </c>
      <c r="R51" s="22">
        <f>R50+R48</f>
        <v>21333</v>
      </c>
      <c r="S51" s="22">
        <f>S50+S48</f>
        <v>60241.8</v>
      </c>
      <c r="T51" s="22"/>
      <c r="U51" s="18">
        <f>U50+U48</f>
        <v>19889</v>
      </c>
      <c r="V51" s="18">
        <f>V50+V48</f>
        <v>22356</v>
      </c>
      <c r="W51" s="22">
        <f>W50+W48</f>
        <v>24974</v>
      </c>
      <c r="X51" s="22">
        <f>X50+X48</f>
        <v>36588</v>
      </c>
      <c r="Y51" s="22">
        <f>Y50+Y48</f>
        <v>103807</v>
      </c>
      <c r="AA51" s="18">
        <f>AA50+AA48</f>
        <v>37621</v>
      </c>
      <c r="AB51" s="22">
        <f>AB50+AB48</f>
        <v>34768</v>
      </c>
      <c r="AC51" s="22">
        <f>AC50+AC48</f>
        <v>33776</v>
      </c>
      <c r="AD51" s="22">
        <f>AD50+AD48</f>
        <v>41012</v>
      </c>
      <c r="AE51" s="22">
        <f>AE50+AE48</f>
        <v>146895</v>
      </c>
      <c r="AG51" s="54">
        <f>AG50+AG48</f>
        <v>37507</v>
      </c>
      <c r="AH51" s="22">
        <f>AH50+AH48</f>
        <v>36448</v>
      </c>
      <c r="AI51" s="22" t="e">
        <f>AI50+AI48</f>
        <v>#REF!</v>
      </c>
      <c r="AJ51" s="22">
        <f>AJ50+AJ48</f>
        <v>40520</v>
      </c>
      <c r="AK51" s="19" t="e">
        <f>SUM(AG51:AJ51)</f>
        <v>#REF!</v>
      </c>
      <c r="AS51" s="22"/>
      <c r="AT51" s="22">
        <f>AT50+AT48</f>
        <v>41300</v>
      </c>
      <c r="AU51" s="22">
        <f>AU50+AU48</f>
        <v>0</v>
      </c>
      <c r="AV51" s="84" t="e">
        <f>AV50+AV48</f>
        <v>#REF!</v>
      </c>
    </row>
    <row r="52" spans="1:48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21"/>
      <c r="R52" s="21"/>
      <c r="S52" s="20"/>
      <c r="T52" s="20"/>
      <c r="U52" s="20"/>
      <c r="V52" s="20"/>
      <c r="W52" s="20"/>
      <c r="X52" s="20"/>
      <c r="Y52" s="20"/>
      <c r="AA52" s="20"/>
      <c r="AB52" s="20"/>
      <c r="AC52" s="20"/>
      <c r="AD52" s="20"/>
      <c r="AE52" s="20"/>
      <c r="AG52" s="74"/>
      <c r="AH52" s="20"/>
      <c r="AI52" s="20"/>
      <c r="AJ52" s="20"/>
      <c r="AS52" s="22"/>
      <c r="AT52" s="111"/>
      <c r="AU52" s="111"/>
      <c r="AV52" s="87"/>
    </row>
    <row r="53" spans="1:48">
      <c r="A53" t="s">
        <v>7</v>
      </c>
      <c r="C53" s="12"/>
      <c r="D53" s="12"/>
      <c r="E53" s="12"/>
      <c r="F53" s="12"/>
      <c r="G53" s="12"/>
      <c r="I53" s="12"/>
      <c r="J53" s="12"/>
      <c r="K53" s="12"/>
      <c r="L53" s="12"/>
      <c r="M53" s="12"/>
      <c r="O53" s="12"/>
      <c r="P53" s="12"/>
      <c r="Q53" s="21"/>
      <c r="R53" s="21"/>
      <c r="S53" s="20"/>
      <c r="T53" s="20"/>
      <c r="U53" s="20"/>
      <c r="V53" s="20"/>
      <c r="W53" s="20"/>
      <c r="X53" s="20"/>
      <c r="Y53" s="20"/>
      <c r="AA53" s="20"/>
      <c r="AB53" s="20"/>
      <c r="AC53" s="20"/>
      <c r="AD53" s="20"/>
      <c r="AE53" s="20"/>
      <c r="AG53" s="74"/>
      <c r="AH53" s="20"/>
      <c r="AI53" s="20"/>
      <c r="AJ53" s="20"/>
      <c r="AT53" s="111"/>
      <c r="AU53" s="111"/>
      <c r="AV53" s="87"/>
    </row>
    <row r="54" spans="1:48">
      <c r="A54" t="s">
        <v>8</v>
      </c>
      <c r="B54" t="s">
        <v>11</v>
      </c>
      <c r="C54" s="12">
        <f>C48/C58</f>
        <v>2.3922230229967895E-2</v>
      </c>
      <c r="D54" s="12">
        <f>D48/D58</f>
        <v>5.5020453649578763E-2</v>
      </c>
      <c r="E54" s="12">
        <f>E48/E58</f>
        <v>8.9549495110091262E-2</v>
      </c>
      <c r="F54" s="12">
        <f>F48/F58</f>
        <v>0.10605808602814805</v>
      </c>
      <c r="G54" s="12">
        <f>G48/G58</f>
        <v>0.2762223990611461</v>
      </c>
      <c r="I54" s="12">
        <f>I48/I58</f>
        <v>0.1108137676995852</v>
      </c>
      <c r="J54" s="12">
        <f>J48/J58</f>
        <v>0.12219583611924469</v>
      </c>
      <c r="K54" s="12">
        <f>K48/K58</f>
        <v>1.9558346024539526</v>
      </c>
      <c r="L54" s="12">
        <f>L48/L58</f>
        <v>0.17370341148941623</v>
      </c>
      <c r="M54" s="12">
        <f>M48/M58</f>
        <v>2.4087921449396696</v>
      </c>
      <c r="O54" s="12">
        <f>O48/O58</f>
        <v>7.4730689966779132E-2</v>
      </c>
      <c r="P54" s="12">
        <f>P48/P58</f>
        <v>7.2810952670295151E-2</v>
      </c>
      <c r="Q54" s="21">
        <f>Q48/Q58</f>
        <v>9.0014704088250228E-2</v>
      </c>
      <c r="R54" s="21">
        <f>R48/R58</f>
        <v>0.13118456038573592</v>
      </c>
      <c r="S54" s="21">
        <f>S48/S58</f>
        <v>0.36945535059150653</v>
      </c>
      <c r="T54" s="21"/>
      <c r="U54" s="21">
        <f>U48/U58</f>
        <v>0.11870470201585701</v>
      </c>
      <c r="V54" s="21">
        <f>V48/V58</f>
        <v>0.13134868141603659</v>
      </c>
      <c r="W54" s="21">
        <f>W48/W58</f>
        <v>0.14663330795170237</v>
      </c>
      <c r="X54" s="21">
        <f>X48/X58</f>
        <v>0.2177485919596038</v>
      </c>
      <c r="Y54" s="21">
        <f>Y48/Y58</f>
        <v>0.61958529446056987</v>
      </c>
      <c r="AA54" s="21">
        <f>AA48/AA58</f>
        <v>0.22241035436463222</v>
      </c>
      <c r="AB54" s="21">
        <f>AB48/AB58</f>
        <v>0.20508072656898643</v>
      </c>
      <c r="AC54" s="21">
        <f>AC48/AC58</f>
        <v>0.19801274974179991</v>
      </c>
      <c r="AD54" s="21">
        <f>AD48/AD58</f>
        <v>0.24006325402889075</v>
      </c>
      <c r="AE54" s="21">
        <f>AE48/AE58</f>
        <v>0.86560149815414522</v>
      </c>
      <c r="AG54" s="21">
        <f>AG48/AG58</f>
        <v>0.21745963792891115</v>
      </c>
      <c r="AH54" s="21">
        <f>AH48/AH58</f>
        <v>0.20866244400530826</v>
      </c>
      <c r="AI54" s="21" t="e">
        <f>AI48/AI58</f>
        <v>#REF!</v>
      </c>
      <c r="AJ54" s="21">
        <f>AJ48/AJ58</f>
        <v>0.23447372115879628</v>
      </c>
      <c r="AK54" s="21" t="e">
        <f>AK48/AK58</f>
        <v>#REF!</v>
      </c>
      <c r="AS54" s="21"/>
      <c r="AT54" s="21">
        <f>AT48/AT58</f>
        <v>0.23891152009631739</v>
      </c>
      <c r="AU54" s="21" t="e">
        <f>AU48/AU58</f>
        <v>#DIV/0!</v>
      </c>
      <c r="AV54" s="88" t="e">
        <f>AV48/AV58</f>
        <v>#REF!</v>
      </c>
    </row>
    <row r="55" spans="1:48">
      <c r="B55" t="s">
        <v>12</v>
      </c>
      <c r="C55" s="12">
        <f>C51/C59</f>
        <v>2.1827012889968241E-2</v>
      </c>
      <c r="D55" s="12">
        <f>D51/D59</f>
        <v>4.9881154035298615E-2</v>
      </c>
      <c r="E55" s="12">
        <f>E51/E59</f>
        <v>8.1191358779040559E-2</v>
      </c>
      <c r="F55" s="12">
        <f>F51/F59</f>
        <v>9.5725903900723663E-2</v>
      </c>
      <c r="G55" s="12">
        <f>G51/G59</f>
        <v>0.25386268290187253</v>
      </c>
      <c r="I55" s="12">
        <f>I51/I59</f>
        <v>0.10041281351421083</v>
      </c>
      <c r="J55" s="12">
        <f>J51/J59</f>
        <v>0.11074366940914486</v>
      </c>
      <c r="K55" s="12">
        <f>K51/K59</f>
        <v>1.7060463202005463</v>
      </c>
      <c r="L55" s="12">
        <f>L51/L59</f>
        <v>0.15542115616100524</v>
      </c>
      <c r="M55" s="12">
        <f>M51/M59</f>
        <v>2.1080066775410335</v>
      </c>
      <c r="O55" s="12">
        <f>O51/O59</f>
        <v>7.0219951556575816E-2</v>
      </c>
      <c r="P55" s="12">
        <f>P51/P59</f>
        <v>6.8184406532583189E-2</v>
      </c>
      <c r="Q55" s="21">
        <f>Q51/Q59</f>
        <v>8.3183951474898779E-2</v>
      </c>
      <c r="R55" s="21">
        <f>R51/R59</f>
        <v>0.11913617477549926</v>
      </c>
      <c r="S55" s="21">
        <f>S51/S59</f>
        <v>0.34079777334004652</v>
      </c>
      <c r="T55" s="21"/>
      <c r="U55" s="12">
        <f>U51/U59</f>
        <v>0.10858989828398587</v>
      </c>
      <c r="V55" s="12">
        <f>V51/V59</f>
        <v>0.12045193722016584</v>
      </c>
      <c r="W55" s="21">
        <f>W51/W59</f>
        <v>0.13491729063347488</v>
      </c>
      <c r="X55" s="21">
        <f>X51/X59</f>
        <v>0.19745917298995111</v>
      </c>
      <c r="Y55" s="21">
        <f>Y51/Y59</f>
        <v>0.56083395463926433</v>
      </c>
      <c r="AA55" s="12">
        <f>AA51/AA59</f>
        <v>0.2025422086312344</v>
      </c>
      <c r="AB55" s="21">
        <f>AB51/AB59</f>
        <v>0.18528999525690015</v>
      </c>
      <c r="AC55" s="21">
        <f>AC51/AC59</f>
        <v>0.17988059796878078</v>
      </c>
      <c r="AD55" s="21">
        <f>AD51/AD59</f>
        <v>0.21967497616420453</v>
      </c>
      <c r="AE55" s="21">
        <f>AE51/AE59</f>
        <v>0.78686021908562553</v>
      </c>
      <c r="AG55" s="21">
        <f>AG51/AG59</f>
        <v>0.1993113086729407</v>
      </c>
      <c r="AH55" s="21">
        <f>AH51/AH59</f>
        <v>0.19228090907172551</v>
      </c>
      <c r="AI55" s="35" t="e">
        <f>AI51/AI59</f>
        <v>#REF!</v>
      </c>
      <c r="AJ55" s="21">
        <f>AJ51/AJ59</f>
        <v>0.2148223156488408</v>
      </c>
      <c r="AK55" s="21" t="e">
        <f>AK51/AK59</f>
        <v>#REF!</v>
      </c>
      <c r="AS55" s="35"/>
      <c r="AT55" s="21">
        <f>AT51/AT59</f>
        <v>0.21850348917799306</v>
      </c>
      <c r="AU55" s="21" t="e">
        <f>AU51/AU59</f>
        <v>#DIV/0!</v>
      </c>
      <c r="AV55" s="88" t="e">
        <f>AV51/AV59</f>
        <v>#REF!</v>
      </c>
    </row>
    <row r="56" spans="1:48">
      <c r="C56" s="12"/>
      <c r="D56" s="12"/>
      <c r="E56" s="12"/>
      <c r="F56" s="12"/>
      <c r="G56" s="12"/>
      <c r="I56" s="21"/>
      <c r="J56" s="21"/>
      <c r="K56" s="21"/>
      <c r="L56" s="21"/>
      <c r="M56" s="12"/>
      <c r="O56" s="21"/>
      <c r="P56" s="21"/>
      <c r="Q56" s="21"/>
      <c r="R56" s="21"/>
      <c r="S56" s="20"/>
      <c r="T56" s="20"/>
      <c r="U56" s="20"/>
      <c r="V56" s="20"/>
      <c r="W56" s="20"/>
      <c r="X56" s="20"/>
      <c r="Y56" s="20"/>
      <c r="AA56" s="20"/>
      <c r="AB56" s="20"/>
      <c r="AC56" s="20"/>
      <c r="AD56" s="20"/>
      <c r="AE56" s="20"/>
      <c r="AG56" s="20"/>
      <c r="AH56" s="20"/>
      <c r="AI56" s="20"/>
      <c r="AJ56" s="20"/>
      <c r="AT56" s="111"/>
      <c r="AU56" s="111"/>
      <c r="AV56" s="123"/>
    </row>
    <row r="57" spans="1:48">
      <c r="A57" t="s">
        <v>13</v>
      </c>
      <c r="C57" s="12"/>
      <c r="D57" s="12"/>
      <c r="E57" s="12"/>
      <c r="F57" s="12"/>
      <c r="G57" s="12"/>
      <c r="I57" s="12"/>
      <c r="J57" s="12"/>
      <c r="K57" s="12"/>
      <c r="L57" s="12"/>
      <c r="M57" s="12"/>
      <c r="O57" s="12"/>
      <c r="P57" s="12"/>
      <c r="Q57" s="21"/>
      <c r="R57" s="21"/>
      <c r="S57" s="20"/>
      <c r="T57" s="20"/>
      <c r="U57" s="20"/>
      <c r="V57" s="20"/>
      <c r="W57" s="20"/>
      <c r="X57" s="20"/>
      <c r="Y57" s="20"/>
      <c r="AA57" s="20"/>
      <c r="AB57" s="20"/>
      <c r="AC57" s="20"/>
      <c r="AD57" s="20"/>
      <c r="AE57" s="20"/>
      <c r="AG57" s="20"/>
      <c r="AH57" s="20"/>
      <c r="AI57" s="23"/>
      <c r="AJ57" s="20"/>
      <c r="AT57" s="111"/>
      <c r="AU57" s="111"/>
      <c r="AV57" s="87"/>
    </row>
    <row r="58" spans="1:48">
      <c r="B58" t="s">
        <v>11</v>
      </c>
      <c r="C58" s="23">
        <v>122104</v>
      </c>
      <c r="D58" s="23">
        <f>123644927.454212/1000</f>
        <v>123644.927454212</v>
      </c>
      <c r="E58" s="23">
        <f>125617682/1000</f>
        <v>125617.682</v>
      </c>
      <c r="F58" s="23">
        <v>126261</v>
      </c>
      <c r="G58" s="23">
        <v>124407</v>
      </c>
      <c r="H58" s="23"/>
      <c r="I58" s="23">
        <v>127051</v>
      </c>
      <c r="J58" s="23">
        <v>130119</v>
      </c>
      <c r="K58" s="23">
        <v>139204</v>
      </c>
      <c r="L58" s="23">
        <v>148293</v>
      </c>
      <c r="M58" s="23">
        <v>136167</v>
      </c>
      <c r="N58" s="17"/>
      <c r="O58" s="23">
        <v>153819</v>
      </c>
      <c r="P58" s="23">
        <v>154702</v>
      </c>
      <c r="Q58" s="23">
        <v>155739</v>
      </c>
      <c r="R58" s="23">
        <v>157206</v>
      </c>
      <c r="S58" s="23">
        <v>155366</v>
      </c>
      <c r="T58" s="23"/>
      <c r="U58" s="23">
        <v>161569</v>
      </c>
      <c r="V58" s="23">
        <v>164798</v>
      </c>
      <c r="W58" s="23">
        <v>165474</v>
      </c>
      <c r="X58" s="23">
        <v>164768</v>
      </c>
      <c r="Y58" s="23">
        <v>162959</v>
      </c>
      <c r="AA58" s="23">
        <v>165959</v>
      </c>
      <c r="AB58" s="23">
        <v>167417</v>
      </c>
      <c r="AC58" s="23">
        <v>168474</v>
      </c>
      <c r="AD58" s="23">
        <v>168843</v>
      </c>
      <c r="AE58" s="23">
        <v>167673</v>
      </c>
      <c r="AG58" s="23">
        <v>170519</v>
      </c>
      <c r="AH58" s="23">
        <v>172561</v>
      </c>
      <c r="AI58" s="23">
        <v>171686</v>
      </c>
      <c r="AJ58" s="23">
        <v>170936</v>
      </c>
      <c r="AK58" s="23">
        <v>171425</v>
      </c>
      <c r="AS58" s="23"/>
      <c r="AT58" s="112">
        <v>171101</v>
      </c>
      <c r="AU58" s="112"/>
      <c r="AV58" s="89">
        <v>171500</v>
      </c>
    </row>
    <row r="59" spans="1:48">
      <c r="B59" t="s">
        <v>12</v>
      </c>
      <c r="C59" s="23">
        <v>133825</v>
      </c>
      <c r="D59" s="23">
        <v>146408</v>
      </c>
      <c r="E59" s="23">
        <v>147294</v>
      </c>
      <c r="F59" s="23">
        <v>147306</v>
      </c>
      <c r="G59" s="23">
        <v>146595</v>
      </c>
      <c r="H59" s="23"/>
      <c r="I59" s="23">
        <v>147282</v>
      </c>
      <c r="J59" s="23">
        <v>149986</v>
      </c>
      <c r="K59" s="23">
        <v>160362</v>
      </c>
      <c r="L59" s="23">
        <v>170305</v>
      </c>
      <c r="M59" s="23">
        <v>156944</v>
      </c>
      <c r="N59" s="17"/>
      <c r="O59" s="23">
        <v>173811</v>
      </c>
      <c r="P59" s="23">
        <v>175612</v>
      </c>
      <c r="Q59" s="23">
        <v>177063</v>
      </c>
      <c r="R59" s="23">
        <v>179064</v>
      </c>
      <c r="S59" s="23">
        <v>176767</v>
      </c>
      <c r="T59" s="23"/>
      <c r="U59" s="23">
        <v>183157</v>
      </c>
      <c r="V59" s="23">
        <v>185601</v>
      </c>
      <c r="W59" s="23">
        <v>185106</v>
      </c>
      <c r="X59" s="23">
        <v>185294</v>
      </c>
      <c r="Y59" s="23">
        <v>185094</v>
      </c>
      <c r="AA59" s="23">
        <v>185744</v>
      </c>
      <c r="AB59" s="23">
        <v>187641</v>
      </c>
      <c r="AC59" s="23">
        <v>187769</v>
      </c>
      <c r="AD59" s="23">
        <v>186694</v>
      </c>
      <c r="AE59" s="23">
        <v>186685</v>
      </c>
      <c r="AG59" s="23">
        <v>188183</v>
      </c>
      <c r="AH59" s="23">
        <v>189556</v>
      </c>
      <c r="AI59" s="23">
        <v>188273</v>
      </c>
      <c r="AJ59" s="23">
        <v>188621</v>
      </c>
      <c r="AK59" s="17">
        <v>188658</v>
      </c>
      <c r="AS59" s="23"/>
      <c r="AT59" s="112">
        <v>189013</v>
      </c>
      <c r="AU59" s="112"/>
      <c r="AV59" s="89">
        <v>190000</v>
      </c>
    </row>
    <row r="60" spans="1:48">
      <c r="C60" s="12"/>
      <c r="D60" s="12"/>
      <c r="E60" s="12"/>
      <c r="F60" s="12"/>
      <c r="G60" s="12"/>
      <c r="I60" s="12"/>
      <c r="J60" s="12"/>
      <c r="K60" s="12"/>
      <c r="L60" s="12"/>
      <c r="M60" s="12"/>
      <c r="O60" s="12"/>
      <c r="P60" s="12"/>
      <c r="Q60" s="21"/>
      <c r="R60" s="21"/>
      <c r="S60" s="21"/>
      <c r="T60" s="21"/>
      <c r="U60" s="21"/>
      <c r="V60" s="21"/>
      <c r="W60" s="21"/>
      <c r="X60" s="21"/>
      <c r="Y60" s="21"/>
      <c r="AA60" s="23"/>
      <c r="AB60" s="23"/>
      <c r="AC60" s="23"/>
      <c r="AD60" s="23"/>
      <c r="AE60" s="23"/>
      <c r="AG60" s="23"/>
      <c r="AH60" s="23"/>
      <c r="AI60" s="23"/>
      <c r="AJ60" s="23"/>
      <c r="AS60" s="23"/>
      <c r="AT60" s="112"/>
      <c r="AU60" s="112"/>
      <c r="AV60" s="89"/>
    </row>
    <row r="61" spans="1:48">
      <c r="C61" s="12"/>
      <c r="D61" s="12"/>
      <c r="E61" s="12"/>
      <c r="F61" s="12"/>
      <c r="G61" s="12"/>
      <c r="I61" s="12"/>
      <c r="J61" s="12"/>
      <c r="K61" s="12"/>
      <c r="L61" s="12"/>
      <c r="M61" s="12"/>
      <c r="O61" s="12"/>
      <c r="P61" s="12"/>
      <c r="Q61" s="21"/>
      <c r="R61" s="21"/>
      <c r="S61" s="21"/>
      <c r="T61" s="21"/>
      <c r="U61" s="21"/>
      <c r="V61" s="21"/>
      <c r="W61" s="21"/>
      <c r="X61" s="21"/>
      <c r="Y61" s="21"/>
      <c r="AA61" s="21"/>
      <c r="AB61" s="21"/>
      <c r="AC61" s="23"/>
      <c r="AD61" s="23"/>
      <c r="AE61" s="21"/>
      <c r="AG61" s="23"/>
      <c r="AH61" s="23"/>
      <c r="AI61" s="23"/>
      <c r="AJ61" s="23"/>
      <c r="AS61" s="23"/>
      <c r="AT61" s="112"/>
      <c r="AU61" s="112"/>
      <c r="AV61" s="89"/>
    </row>
    <row r="62" spans="1:48">
      <c r="A62" t="s">
        <v>19</v>
      </c>
      <c r="C62" s="18">
        <f>C48</f>
        <v>2921</v>
      </c>
      <c r="D62" s="18">
        <f>D48</f>
        <v>6803</v>
      </c>
      <c r="E62" s="18">
        <f>E48</f>
        <v>11249</v>
      </c>
      <c r="F62" s="18">
        <f>F48</f>
        <v>13391</v>
      </c>
      <c r="G62" s="18">
        <f>G48</f>
        <v>34364</v>
      </c>
      <c r="H62" s="19"/>
      <c r="I62" s="18">
        <f>I48</f>
        <v>14079</v>
      </c>
      <c r="J62" s="18">
        <f>J48</f>
        <v>15900</v>
      </c>
      <c r="K62" s="18">
        <f>K48</f>
        <v>272260</v>
      </c>
      <c r="L62" s="18">
        <f>L48</f>
        <v>25759</v>
      </c>
      <c r="M62" s="18">
        <f>M48</f>
        <v>327998</v>
      </c>
      <c r="O62" s="18">
        <f>O48</f>
        <v>11495</v>
      </c>
      <c r="P62" s="18">
        <f>P48</f>
        <v>11264</v>
      </c>
      <c r="Q62" s="22">
        <f>Q48</f>
        <v>14018.800000000003</v>
      </c>
      <c r="R62" s="22">
        <f>R48</f>
        <v>20623</v>
      </c>
      <c r="S62" s="22">
        <f t="shared" ref="S62:S71" si="9">SUM(O62:R62)</f>
        <v>57400.800000000003</v>
      </c>
      <c r="T62" s="22"/>
      <c r="U62" s="18">
        <f>U48</f>
        <v>19179</v>
      </c>
      <c r="V62" s="18">
        <f>V48</f>
        <v>21646</v>
      </c>
      <c r="W62" s="22">
        <f>W48</f>
        <v>24264</v>
      </c>
      <c r="X62" s="22">
        <f>X48</f>
        <v>35878</v>
      </c>
      <c r="Y62" s="22">
        <f t="shared" ref="Y62:Y71" si="10">SUM(U62:X62)</f>
        <v>100967</v>
      </c>
      <c r="AA62" s="18">
        <f>AA48</f>
        <v>36911</v>
      </c>
      <c r="AB62" s="22">
        <f>AB48</f>
        <v>34334</v>
      </c>
      <c r="AC62" s="22">
        <f>AC48</f>
        <v>33360</v>
      </c>
      <c r="AD62" s="22">
        <f>AD48</f>
        <v>40533</v>
      </c>
      <c r="AE62" s="22">
        <f>AE48</f>
        <v>145138</v>
      </c>
      <c r="AG62" s="22">
        <f>AG48</f>
        <v>37081</v>
      </c>
      <c r="AH62" s="22">
        <f>AH48</f>
        <v>36007</v>
      </c>
      <c r="AI62" s="22" t="e">
        <f>AI48</f>
        <v>#REF!</v>
      </c>
      <c r="AJ62" s="22">
        <f>AJ48</f>
        <v>40080</v>
      </c>
      <c r="AK62" s="22" t="e">
        <f t="shared" ref="AK62:AK71" si="11">SUM(AG62:AJ62)</f>
        <v>#REF!</v>
      </c>
      <c r="AS62" s="22"/>
      <c r="AT62" s="22">
        <f>AT48</f>
        <v>40878</v>
      </c>
      <c r="AU62" s="22">
        <f>AU48</f>
        <v>0</v>
      </c>
      <c r="AV62" s="84" t="e">
        <f>AV48</f>
        <v>#REF!</v>
      </c>
    </row>
    <row r="63" spans="1:48">
      <c r="B63" t="s">
        <v>67</v>
      </c>
      <c r="C63" s="18">
        <f>C34</f>
        <v>12</v>
      </c>
      <c r="D63" s="18">
        <f>D34</f>
        <v>12</v>
      </c>
      <c r="E63" s="18">
        <v>12</v>
      </c>
      <c r="F63" s="18">
        <f>F34</f>
        <v>12</v>
      </c>
      <c r="G63" s="18">
        <f>G34</f>
        <v>48</v>
      </c>
      <c r="H63" s="19"/>
      <c r="I63" s="18">
        <f>I34</f>
        <v>12</v>
      </c>
      <c r="J63" s="18">
        <f>J34</f>
        <v>520</v>
      </c>
      <c r="K63" s="18">
        <f>K34</f>
        <v>2296</v>
      </c>
      <c r="L63" s="18">
        <f>L34</f>
        <v>2296</v>
      </c>
      <c r="M63" s="18">
        <f>M34</f>
        <v>5124</v>
      </c>
      <c r="O63" s="18">
        <f>O34</f>
        <v>2296</v>
      </c>
      <c r="P63" s="18">
        <f>+P34</f>
        <v>2198</v>
      </c>
      <c r="Q63" s="22">
        <v>1943.2</v>
      </c>
      <c r="R63" s="22">
        <v>2047</v>
      </c>
      <c r="S63" s="22">
        <f t="shared" si="9"/>
        <v>8484.2000000000007</v>
      </c>
      <c r="T63" s="22"/>
      <c r="U63" s="18">
        <f>U34</f>
        <v>2812</v>
      </c>
      <c r="V63" s="18">
        <f>V34</f>
        <v>2932</v>
      </c>
      <c r="W63" s="18">
        <f>W34</f>
        <v>2835</v>
      </c>
      <c r="X63" s="18">
        <f>X34</f>
        <v>2835</v>
      </c>
      <c r="Y63" s="22">
        <f t="shared" si="10"/>
        <v>11414</v>
      </c>
      <c r="AA63" s="18">
        <f>AA34</f>
        <v>3590</v>
      </c>
      <c r="AB63" s="22">
        <f>AB34</f>
        <v>3491</v>
      </c>
      <c r="AC63" s="22">
        <f>AC34</f>
        <v>3173</v>
      </c>
      <c r="AD63" s="22">
        <f>AD34</f>
        <v>3651</v>
      </c>
      <c r="AE63" s="22">
        <f t="shared" ref="AE63:AE70" si="12">SUM(AA63:AD63)</f>
        <v>13905</v>
      </c>
      <c r="AG63" s="22">
        <f>AG34</f>
        <v>4239</v>
      </c>
      <c r="AH63" s="22">
        <f>AH34</f>
        <v>4238</v>
      </c>
      <c r="AI63" s="22">
        <f>AI34</f>
        <v>4103</v>
      </c>
      <c r="AJ63" s="22">
        <f>AJ34</f>
        <v>4142</v>
      </c>
      <c r="AK63" s="22">
        <f t="shared" si="11"/>
        <v>16722</v>
      </c>
      <c r="AS63" s="22"/>
      <c r="AT63" s="22">
        <f>AT34</f>
        <v>4108</v>
      </c>
      <c r="AU63" s="22">
        <f>AU34</f>
        <v>0</v>
      </c>
      <c r="AV63" s="84" t="e">
        <f>AV34</f>
        <v>#REF!</v>
      </c>
    </row>
    <row r="64" spans="1:48">
      <c r="B64" t="s">
        <v>65</v>
      </c>
      <c r="C64" s="18">
        <f>+C30+C27+C24+C16</f>
        <v>533</v>
      </c>
      <c r="D64" s="18">
        <f>+D30+D27+D24+D16</f>
        <v>274</v>
      </c>
      <c r="E64" s="18">
        <f>+E30+E27+E24+E16</f>
        <v>249</v>
      </c>
      <c r="F64" s="18">
        <f>+F30+F27+F24+F16</f>
        <v>236</v>
      </c>
      <c r="G64" s="18">
        <f>+G30+G27+G24+G16</f>
        <v>1292</v>
      </c>
      <c r="H64" s="19"/>
      <c r="I64" s="18">
        <f>+I30+I27+I24+I16</f>
        <v>227</v>
      </c>
      <c r="J64" s="18">
        <f>+J30+J27+J24+J16</f>
        <v>657</v>
      </c>
      <c r="K64" s="18">
        <f>+K30+K27+K24+K16</f>
        <v>1383</v>
      </c>
      <c r="L64" s="18">
        <f>+L30+L27+L24+L16</f>
        <v>1582</v>
      </c>
      <c r="M64" s="18">
        <f>+M30+M27+M24+M16</f>
        <v>3849</v>
      </c>
      <c r="O64" s="18">
        <f>+O30+O27+O24+O16</f>
        <v>7087</v>
      </c>
      <c r="P64" s="18">
        <f>+P30+P27+P24+P16</f>
        <v>13175</v>
      </c>
      <c r="Q64" s="22">
        <v>14514</v>
      </c>
      <c r="R64" s="22">
        <v>14792</v>
      </c>
      <c r="S64" s="22">
        <f t="shared" si="9"/>
        <v>49568</v>
      </c>
      <c r="T64" s="22"/>
      <c r="U64" s="18">
        <f>+U30+U27+U24+U16</f>
        <v>16830</v>
      </c>
      <c r="V64" s="18">
        <f>+V30+V27+V24+V16</f>
        <v>17208</v>
      </c>
      <c r="W64" s="18">
        <f>+W30+W27+W24+W16</f>
        <v>16909</v>
      </c>
      <c r="X64" s="18">
        <f>+X30+X27+X24+X16</f>
        <v>15608</v>
      </c>
      <c r="Y64" s="18">
        <f>+Y30+Y27+Y24+Y16</f>
        <v>66555</v>
      </c>
      <c r="AA64" s="18">
        <f>+AA30+AA27+AA24+AA16</f>
        <v>11251</v>
      </c>
      <c r="AB64" s="18">
        <f>+AB30+AB27+AB24+AB16</f>
        <v>16997</v>
      </c>
      <c r="AC64" s="18">
        <f>+AC30+AC27+AC24+AC16</f>
        <v>14122</v>
      </c>
      <c r="AD64" s="18">
        <f>+AD30+AD27+AD24+AD16</f>
        <v>15529</v>
      </c>
      <c r="AE64" s="18">
        <f>+AE30+AE27+AE24+AE16</f>
        <v>57899</v>
      </c>
      <c r="AG64" s="18">
        <f>+AG30+AG27+AG24+AG16</f>
        <v>15067</v>
      </c>
      <c r="AH64" s="18">
        <f>+AH30+AH27+AH24+AH16</f>
        <v>13320</v>
      </c>
      <c r="AI64" s="18">
        <f>+AI30+AI27+AI24+AI16</f>
        <v>13612</v>
      </c>
      <c r="AJ64" s="18">
        <f>+AJ30+AJ27+AJ24+AJ16</f>
        <v>16798</v>
      </c>
      <c r="AK64" s="22">
        <f t="shared" si="11"/>
        <v>58797</v>
      </c>
      <c r="AS64" s="22"/>
      <c r="AT64" s="18">
        <f>+AT30+AT27+AT24+AT16</f>
        <v>19108</v>
      </c>
      <c r="AU64" s="18">
        <f>+AU30+AU27+AU24+AU16</f>
        <v>0</v>
      </c>
      <c r="AV64" s="84" t="e">
        <f>#REF!</f>
        <v>#REF!</v>
      </c>
    </row>
    <row r="65" spans="1:48">
      <c r="B65" t="s">
        <v>66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/>
      <c r="I65" s="18">
        <v>0</v>
      </c>
      <c r="J65" s="18">
        <v>0</v>
      </c>
      <c r="K65" s="18">
        <v>0</v>
      </c>
      <c r="L65" s="18">
        <v>0</v>
      </c>
      <c r="M65" s="18">
        <v>0</v>
      </c>
      <c r="O65" s="18">
        <v>6</v>
      </c>
      <c r="P65" s="18">
        <v>27</v>
      </c>
      <c r="Q65" s="22">
        <v>129</v>
      </c>
      <c r="R65" s="22">
        <v>136</v>
      </c>
      <c r="S65" s="22">
        <f t="shared" si="9"/>
        <v>298</v>
      </c>
      <c r="T65" s="22"/>
      <c r="U65" s="18">
        <v>188</v>
      </c>
      <c r="V65" s="18">
        <v>401</v>
      </c>
      <c r="W65" s="18">
        <v>537</v>
      </c>
      <c r="X65" s="18">
        <v>703</v>
      </c>
      <c r="Y65" s="22">
        <f t="shared" si="10"/>
        <v>1829</v>
      </c>
      <c r="AA65" s="18">
        <v>861</v>
      </c>
      <c r="AB65" s="22">
        <v>1014</v>
      </c>
      <c r="AC65" s="22">
        <v>1118</v>
      </c>
      <c r="AD65" s="22">
        <v>1219</v>
      </c>
      <c r="AE65" s="22">
        <f t="shared" si="12"/>
        <v>4212</v>
      </c>
      <c r="AG65" s="22">
        <v>1307</v>
      </c>
      <c r="AH65" s="22">
        <v>1461</v>
      </c>
      <c r="AI65" s="22">
        <v>1794</v>
      </c>
      <c r="AJ65" s="22">
        <v>1851</v>
      </c>
      <c r="AK65" s="22">
        <f t="shared" si="11"/>
        <v>6413</v>
      </c>
      <c r="AS65" s="22"/>
      <c r="AT65" s="22">
        <v>1875</v>
      </c>
      <c r="AU65" s="22"/>
      <c r="AV65" s="84">
        <v>1964</v>
      </c>
    </row>
    <row r="66" spans="1:48">
      <c r="B66" t="s">
        <v>20</v>
      </c>
      <c r="C66" s="18">
        <f>-+C43</f>
        <v>2018</v>
      </c>
      <c r="D66" s="18">
        <f>-+D43</f>
        <v>3264</v>
      </c>
      <c r="E66" s="18">
        <f>-+E43</f>
        <v>634</v>
      </c>
      <c r="F66" s="18">
        <f>-+F43</f>
        <v>852</v>
      </c>
      <c r="G66" s="18">
        <f>-+G43</f>
        <v>6768</v>
      </c>
      <c r="H66" s="19"/>
      <c r="I66" s="18">
        <f>-+I43</f>
        <v>0</v>
      </c>
      <c r="J66" s="18">
        <f>-+J43</f>
        <v>0</v>
      </c>
      <c r="K66" s="18">
        <f>-+K43</f>
        <v>1370</v>
      </c>
      <c r="L66" s="18">
        <f>-+L43</f>
        <v>0</v>
      </c>
      <c r="M66" s="18">
        <f>-+M43</f>
        <v>1370</v>
      </c>
      <c r="O66" s="18">
        <f>-+O43</f>
        <v>0</v>
      </c>
      <c r="P66" s="18">
        <v>0</v>
      </c>
      <c r="Q66" s="21">
        <v>0</v>
      </c>
      <c r="R66" s="21">
        <v>0</v>
      </c>
      <c r="S66" s="22">
        <f t="shared" si="9"/>
        <v>0</v>
      </c>
      <c r="T66" s="22"/>
      <c r="U66" s="18">
        <f>+-U43</f>
        <v>1</v>
      </c>
      <c r="V66" s="18">
        <v>0</v>
      </c>
      <c r="W66" s="22">
        <v>2</v>
      </c>
      <c r="X66" s="21">
        <v>0</v>
      </c>
      <c r="Y66" s="22">
        <f t="shared" si="10"/>
        <v>3</v>
      </c>
      <c r="AA66" s="18">
        <v>0</v>
      </c>
      <c r="AB66" s="18">
        <v>0</v>
      </c>
      <c r="AC66" s="18">
        <v>0</v>
      </c>
      <c r="AD66" s="18">
        <v>0</v>
      </c>
      <c r="AE66" s="22">
        <f t="shared" si="12"/>
        <v>0</v>
      </c>
      <c r="AG66" s="18">
        <v>0</v>
      </c>
      <c r="AH66" s="18">
        <v>0</v>
      </c>
      <c r="AI66" s="18">
        <v>0</v>
      </c>
      <c r="AJ66" s="22">
        <v>0</v>
      </c>
      <c r="AK66" s="22">
        <f t="shared" si="11"/>
        <v>0</v>
      </c>
      <c r="AS66" s="22"/>
      <c r="AT66" s="22">
        <v>0</v>
      </c>
      <c r="AU66" s="22"/>
      <c r="AV66" s="84"/>
    </row>
    <row r="67" spans="1:48">
      <c r="B67" t="s">
        <v>21</v>
      </c>
      <c r="C67" s="18">
        <v>0</v>
      </c>
      <c r="D67" s="18">
        <v>0</v>
      </c>
      <c r="E67" s="18">
        <v>0</v>
      </c>
      <c r="F67" s="18">
        <v>0</v>
      </c>
      <c r="G67" s="18">
        <f>SUM(C67:F67)</f>
        <v>0</v>
      </c>
      <c r="H67" s="19"/>
      <c r="I67" s="18">
        <v>0</v>
      </c>
      <c r="J67" s="18">
        <v>0</v>
      </c>
      <c r="K67" s="18">
        <v>-255345</v>
      </c>
      <c r="L67" s="18">
        <v>-3482</v>
      </c>
      <c r="M67" s="18">
        <f>SUM(I67:L67)</f>
        <v>-258827</v>
      </c>
      <c r="O67" s="18">
        <v>0</v>
      </c>
      <c r="P67" s="18">
        <v>0</v>
      </c>
      <c r="Q67" s="21">
        <v>0</v>
      </c>
      <c r="R67" s="21">
        <v>0</v>
      </c>
      <c r="S67" s="22">
        <f t="shared" si="9"/>
        <v>0</v>
      </c>
      <c r="T67" s="22"/>
      <c r="U67" s="18">
        <v>0</v>
      </c>
      <c r="V67" s="18">
        <v>0</v>
      </c>
      <c r="W67" s="21">
        <v>0</v>
      </c>
      <c r="X67" s="21">
        <v>0</v>
      </c>
      <c r="Y67" s="22">
        <f t="shared" si="10"/>
        <v>0</v>
      </c>
      <c r="AA67" s="18">
        <v>0</v>
      </c>
      <c r="AB67" s="18">
        <v>0</v>
      </c>
      <c r="AC67" s="18">
        <v>0</v>
      </c>
      <c r="AD67" s="18">
        <v>0</v>
      </c>
      <c r="AE67" s="22">
        <f t="shared" si="12"/>
        <v>0</v>
      </c>
      <c r="AG67" s="18">
        <v>0</v>
      </c>
      <c r="AH67" s="18">
        <v>0</v>
      </c>
      <c r="AI67" s="18">
        <v>0</v>
      </c>
      <c r="AJ67" s="22">
        <v>0</v>
      </c>
      <c r="AK67" s="22">
        <f t="shared" si="11"/>
        <v>0</v>
      </c>
      <c r="AS67" s="22"/>
      <c r="AT67" s="22">
        <v>0</v>
      </c>
      <c r="AU67" s="22"/>
      <c r="AV67" s="84"/>
    </row>
    <row r="68" spans="1:48">
      <c r="B68" t="s">
        <v>43</v>
      </c>
      <c r="C68" s="18">
        <v>0</v>
      </c>
      <c r="D68" s="18">
        <v>0</v>
      </c>
      <c r="E68" s="18">
        <v>0</v>
      </c>
      <c r="F68" s="18">
        <v>0</v>
      </c>
      <c r="G68" s="18">
        <f>SUM(C68:F68)</f>
        <v>0</v>
      </c>
      <c r="H68" s="19"/>
      <c r="I68" s="18">
        <v>0</v>
      </c>
      <c r="J68" s="18">
        <v>0</v>
      </c>
      <c r="K68" s="18">
        <v>0</v>
      </c>
      <c r="L68" s="18">
        <v>0</v>
      </c>
      <c r="M68" s="18">
        <v>0</v>
      </c>
      <c r="O68" s="18">
        <v>8764</v>
      </c>
      <c r="P68" s="18">
        <v>9178</v>
      </c>
      <c r="Q68" s="22">
        <v>11154</v>
      </c>
      <c r="R68" s="22">
        <v>9924</v>
      </c>
      <c r="S68" s="22">
        <f t="shared" si="9"/>
        <v>39020</v>
      </c>
      <c r="T68" s="22"/>
      <c r="U68" s="22">
        <v>11701</v>
      </c>
      <c r="V68" s="22">
        <v>13437</v>
      </c>
      <c r="W68" s="22">
        <v>17833</v>
      </c>
      <c r="X68" s="22">
        <v>20898</v>
      </c>
      <c r="Y68" s="22">
        <f t="shared" si="10"/>
        <v>63869</v>
      </c>
      <c r="AA68" s="22">
        <v>23217</v>
      </c>
      <c r="AB68" s="22">
        <v>20735</v>
      </c>
      <c r="AC68" s="22">
        <v>22434</v>
      </c>
      <c r="AD68" s="22">
        <v>18336</v>
      </c>
      <c r="AE68" s="22">
        <f t="shared" si="12"/>
        <v>84722</v>
      </c>
      <c r="AG68" s="22">
        <v>22851</v>
      </c>
      <c r="AH68" s="22">
        <v>20236</v>
      </c>
      <c r="AI68" s="22">
        <v>18563</v>
      </c>
      <c r="AJ68" s="22">
        <v>22553</v>
      </c>
      <c r="AK68" s="22">
        <f t="shared" si="11"/>
        <v>84203</v>
      </c>
      <c r="AS68" s="22"/>
      <c r="AT68" s="22">
        <v>0</v>
      </c>
      <c r="AU68" s="22"/>
      <c r="AV68" s="84"/>
    </row>
    <row r="69" spans="1:48">
      <c r="B69" t="s">
        <v>63</v>
      </c>
      <c r="C69" s="18"/>
      <c r="D69" s="18"/>
      <c r="E69" s="18"/>
      <c r="F69" s="18"/>
      <c r="G69" s="18"/>
      <c r="H69" s="19"/>
      <c r="I69" s="18">
        <v>0</v>
      </c>
      <c r="J69" s="18">
        <v>0</v>
      </c>
      <c r="K69" s="18">
        <v>0</v>
      </c>
      <c r="L69" s="18">
        <v>0</v>
      </c>
      <c r="M69" s="18">
        <v>0</v>
      </c>
      <c r="O69" s="18">
        <v>0</v>
      </c>
      <c r="P69" s="18">
        <v>0</v>
      </c>
      <c r="Q69" s="22">
        <v>0</v>
      </c>
      <c r="R69" s="22">
        <v>0</v>
      </c>
      <c r="S69" s="22">
        <v>0</v>
      </c>
      <c r="T69" s="22"/>
      <c r="U69" s="22">
        <v>0</v>
      </c>
      <c r="V69" s="22">
        <v>-178</v>
      </c>
      <c r="W69" s="22">
        <v>0</v>
      </c>
      <c r="X69" s="22">
        <v>0</v>
      </c>
      <c r="Y69" s="22">
        <f t="shared" si="10"/>
        <v>-178</v>
      </c>
      <c r="AA69" s="22">
        <v>0</v>
      </c>
      <c r="AB69" s="22">
        <v>0</v>
      </c>
      <c r="AC69" s="22">
        <v>0</v>
      </c>
      <c r="AD69" s="22">
        <f>+AD33</f>
        <v>2509</v>
      </c>
      <c r="AE69" s="22">
        <f t="shared" si="12"/>
        <v>2509</v>
      </c>
      <c r="AG69" s="22">
        <f>+AG33</f>
        <v>454</v>
      </c>
      <c r="AH69" s="22">
        <f>+AH33</f>
        <v>0</v>
      </c>
      <c r="AI69" s="22">
        <f>+AI33</f>
        <v>0</v>
      </c>
      <c r="AJ69" s="22">
        <v>0</v>
      </c>
      <c r="AK69" s="22">
        <f t="shared" si="11"/>
        <v>454</v>
      </c>
      <c r="AS69" s="22"/>
      <c r="AT69" s="22">
        <v>0</v>
      </c>
      <c r="AU69" s="22"/>
      <c r="AV69" s="84"/>
    </row>
    <row r="70" spans="1:48">
      <c r="B70" t="s">
        <v>58</v>
      </c>
      <c r="C70" s="31">
        <f>+-C44</f>
        <v>-11</v>
      </c>
      <c r="D70" s="31">
        <f>+-D44</f>
        <v>0</v>
      </c>
      <c r="E70" s="31">
        <f>+-E44</f>
        <v>79</v>
      </c>
      <c r="F70" s="31">
        <f>+-F44</f>
        <v>1</v>
      </c>
      <c r="G70" s="31">
        <f>+-G44</f>
        <v>69</v>
      </c>
      <c r="H70" s="19"/>
      <c r="I70" s="31">
        <f>+-I44</f>
        <v>0</v>
      </c>
      <c r="J70" s="31">
        <f>+-J44</f>
        <v>0</v>
      </c>
      <c r="K70" s="31">
        <f>+-K44</f>
        <v>27</v>
      </c>
      <c r="L70" s="31">
        <f>+-L44</f>
        <v>0</v>
      </c>
      <c r="M70" s="31">
        <f>+-M44</f>
        <v>27</v>
      </c>
      <c r="O70" s="31">
        <f>+-O44</f>
        <v>-257</v>
      </c>
      <c r="P70" s="31">
        <v>-2</v>
      </c>
      <c r="Q70" s="34">
        <v>0</v>
      </c>
      <c r="R70" s="32">
        <v>-2</v>
      </c>
      <c r="S70" s="32">
        <f t="shared" si="9"/>
        <v>-261</v>
      </c>
      <c r="T70" s="38"/>
      <c r="U70" s="31">
        <f>+-U44</f>
        <v>0</v>
      </c>
      <c r="V70" s="31">
        <f>+-V44</f>
        <v>0</v>
      </c>
      <c r="W70" s="31">
        <f>+-W44</f>
        <v>-1</v>
      </c>
      <c r="X70" s="31">
        <f>+-X44</f>
        <v>-23</v>
      </c>
      <c r="Y70" s="32">
        <f t="shared" si="10"/>
        <v>-24</v>
      </c>
      <c r="AA70" s="31">
        <f>+-AA44</f>
        <v>-208</v>
      </c>
      <c r="AB70" s="31">
        <f>+-AB44</f>
        <v>-64</v>
      </c>
      <c r="AC70" s="31">
        <f>+-AC44</f>
        <v>-1</v>
      </c>
      <c r="AD70" s="31">
        <f>+-AD44</f>
        <v>430</v>
      </c>
      <c r="AE70" s="32">
        <f t="shared" si="12"/>
        <v>157</v>
      </c>
      <c r="AG70" s="31">
        <f>+-AG44</f>
        <v>-455</v>
      </c>
      <c r="AH70" s="31">
        <f>+-AH44</f>
        <v>0</v>
      </c>
      <c r="AI70" s="31">
        <f>+-AI44</f>
        <v>0</v>
      </c>
      <c r="AJ70" s="32">
        <f>+-AJ44</f>
        <v>-2</v>
      </c>
      <c r="AK70" s="32">
        <f t="shared" si="11"/>
        <v>-457</v>
      </c>
      <c r="AS70" s="32"/>
      <c r="AT70" s="32">
        <f>+-AT44</f>
        <v>0</v>
      </c>
      <c r="AU70" s="32">
        <f>+-AU44</f>
        <v>0</v>
      </c>
      <c r="AV70" s="83">
        <f>+-AV44</f>
        <v>0</v>
      </c>
    </row>
    <row r="71" spans="1:48">
      <c r="A71" t="s">
        <v>14</v>
      </c>
      <c r="C71" s="18">
        <f>C62+C63+C64+C66+C67+C70</f>
        <v>5473</v>
      </c>
      <c r="D71" s="18">
        <f>D62+D63+D64+D66+D67+D70</f>
        <v>10353</v>
      </c>
      <c r="E71" s="18">
        <f>E62+E63+E64+E66+E67+E70</f>
        <v>12223</v>
      </c>
      <c r="F71" s="18">
        <f>F62+F63+F64+F66+F67+F70</f>
        <v>14492</v>
      </c>
      <c r="G71" s="18">
        <f>G62+G63+G64+G66+G67+G70</f>
        <v>42541</v>
      </c>
      <c r="H71" s="19"/>
      <c r="I71" s="18">
        <f>SUM(I62:I70)</f>
        <v>14318</v>
      </c>
      <c r="J71" s="18">
        <f>SUM(J62:J70)</f>
        <v>17077</v>
      </c>
      <c r="K71" s="18">
        <f>SUM(K62:K70)</f>
        <v>21991</v>
      </c>
      <c r="L71" s="18">
        <f>SUM(L62:L70)</f>
        <v>26155</v>
      </c>
      <c r="M71" s="18">
        <f>SUM(M62:M70)</f>
        <v>79541</v>
      </c>
      <c r="O71" s="18">
        <f>SUM(O62:O70)</f>
        <v>29391</v>
      </c>
      <c r="P71" s="18">
        <f>SUM(P62:P70)</f>
        <v>35840</v>
      </c>
      <c r="Q71" s="22">
        <f>SUM(Q62:Q70)</f>
        <v>41759</v>
      </c>
      <c r="R71" s="22">
        <f>SUM(R62:R70)</f>
        <v>47520</v>
      </c>
      <c r="S71" s="22">
        <f t="shared" si="9"/>
        <v>154510</v>
      </c>
      <c r="T71" s="22"/>
      <c r="U71" s="18">
        <f>SUM(U62:U70)</f>
        <v>50711</v>
      </c>
      <c r="V71" s="18">
        <f>SUM(V62:V70)</f>
        <v>55446</v>
      </c>
      <c r="W71" s="22">
        <f>SUM(W62:W70)</f>
        <v>62379</v>
      </c>
      <c r="X71" s="22">
        <f>SUM(X62:X70)</f>
        <v>75899</v>
      </c>
      <c r="Y71" s="22">
        <f t="shared" si="10"/>
        <v>244435</v>
      </c>
      <c r="AA71" s="18">
        <f>SUM(AA62:AA70)</f>
        <v>75622</v>
      </c>
      <c r="AB71" s="22">
        <f>SUM(AB62:AB70)</f>
        <v>76507</v>
      </c>
      <c r="AC71" s="22">
        <f>SUM(AC62:AC70)</f>
        <v>74206</v>
      </c>
      <c r="AD71" s="22">
        <f>SUM(AD62:AD70)</f>
        <v>82207</v>
      </c>
      <c r="AE71" s="22">
        <f>SUM(AE62:AE70)</f>
        <v>308542</v>
      </c>
      <c r="AG71" s="22">
        <f>SUM(AG62:AG70)</f>
        <v>80544</v>
      </c>
      <c r="AH71" s="22">
        <f>SUM(AH62:AH70)</f>
        <v>75262</v>
      </c>
      <c r="AI71" s="22" t="e">
        <f>SUM(AI62:AI70)</f>
        <v>#REF!</v>
      </c>
      <c r="AJ71" s="22">
        <f>SUM(AJ62:AJ70)</f>
        <v>85422</v>
      </c>
      <c r="AK71" s="22" t="e">
        <f t="shared" si="11"/>
        <v>#REF!</v>
      </c>
      <c r="AS71" s="22"/>
      <c r="AT71" s="22">
        <f>SUM(AT62:AT70)</f>
        <v>65969</v>
      </c>
      <c r="AU71" s="22">
        <f>SUM(AU62:AU70)</f>
        <v>0</v>
      </c>
      <c r="AV71" s="84" t="e">
        <f>SUM(AV62:AV70)</f>
        <v>#REF!</v>
      </c>
    </row>
    <row r="72" spans="1:48">
      <c r="C72" s="12"/>
      <c r="D72" s="12"/>
      <c r="E72" s="12"/>
      <c r="F72" s="12"/>
      <c r="G72" s="12"/>
      <c r="I72" s="12"/>
      <c r="J72" s="12"/>
      <c r="K72" s="12"/>
      <c r="L72" s="12"/>
      <c r="M72" s="12"/>
      <c r="O72" s="12"/>
      <c r="P72" s="12"/>
      <c r="Q72" s="22"/>
      <c r="R72" s="22"/>
      <c r="S72" s="20"/>
      <c r="T72" s="20"/>
      <c r="U72" s="12"/>
      <c r="V72" s="12"/>
      <c r="W72" s="12"/>
      <c r="X72" s="12"/>
      <c r="Y72" s="20"/>
      <c r="Z72" s="19"/>
      <c r="AA72" s="12"/>
      <c r="AB72" s="21"/>
      <c r="AC72" s="22"/>
      <c r="AD72" s="22"/>
      <c r="AE72" s="50"/>
      <c r="AG72" s="55"/>
      <c r="AH72" s="55"/>
      <c r="AI72" s="55"/>
      <c r="AJ72" s="55"/>
      <c r="AK72" s="55"/>
      <c r="AS72" s="55"/>
      <c r="AT72" s="55"/>
      <c r="AU72" s="55"/>
      <c r="AV72" s="98"/>
    </row>
    <row r="73" spans="1:48">
      <c r="B73" t="s">
        <v>38</v>
      </c>
      <c r="C73" s="31">
        <v>0</v>
      </c>
      <c r="D73" s="31">
        <v>500</v>
      </c>
      <c r="E73" s="31">
        <v>710</v>
      </c>
      <c r="F73" s="31">
        <v>710</v>
      </c>
      <c r="G73" s="31">
        <v>2851</v>
      </c>
      <c r="H73" s="18"/>
      <c r="I73" s="31">
        <v>710</v>
      </c>
      <c r="J73" s="31">
        <v>710</v>
      </c>
      <c r="K73" s="31">
        <v>710</v>
      </c>
      <c r="L73" s="32">
        <v>710</v>
      </c>
      <c r="M73" s="31">
        <v>2841</v>
      </c>
      <c r="O73" s="32">
        <v>710</v>
      </c>
      <c r="P73" s="32">
        <v>710</v>
      </c>
      <c r="Q73" s="32">
        <v>710</v>
      </c>
      <c r="R73" s="32">
        <v>710</v>
      </c>
      <c r="S73" s="32">
        <v>2841</v>
      </c>
      <c r="T73" s="38"/>
      <c r="U73" s="32">
        <v>710</v>
      </c>
      <c r="V73" s="32">
        <v>710</v>
      </c>
      <c r="W73" s="32">
        <v>710</v>
      </c>
      <c r="X73" s="32">
        <v>710</v>
      </c>
      <c r="Y73" s="32">
        <f>SUM(U73:X73)</f>
        <v>2840</v>
      </c>
      <c r="AA73" s="32">
        <v>710</v>
      </c>
      <c r="AB73" s="32">
        <v>696</v>
      </c>
      <c r="AC73" s="32">
        <v>696</v>
      </c>
      <c r="AD73" s="32">
        <v>696</v>
      </c>
      <c r="AE73" s="32">
        <v>2782</v>
      </c>
      <c r="AG73" s="32">
        <v>689</v>
      </c>
      <c r="AH73" s="32">
        <v>689</v>
      </c>
      <c r="AI73" s="32">
        <v>688</v>
      </c>
      <c r="AJ73" s="32">
        <v>688</v>
      </c>
      <c r="AK73" s="65">
        <f>SUM(AG73:AJ73)</f>
        <v>2754</v>
      </c>
      <c r="AS73" s="32"/>
      <c r="AT73" s="32">
        <v>422</v>
      </c>
      <c r="AU73" s="32"/>
      <c r="AV73" s="86">
        <v>422</v>
      </c>
    </row>
    <row r="74" spans="1:48">
      <c r="B74" t="s">
        <v>39</v>
      </c>
      <c r="C74" s="18">
        <f>C73+C71</f>
        <v>5473</v>
      </c>
      <c r="D74" s="18">
        <f>D73+D71</f>
        <v>10853</v>
      </c>
      <c r="E74" s="18">
        <f>E73+E71</f>
        <v>12933</v>
      </c>
      <c r="F74" s="18">
        <f>F73+F71</f>
        <v>15202</v>
      </c>
      <c r="G74" s="18">
        <f>G73+G71</f>
        <v>45392</v>
      </c>
      <c r="H74" s="18"/>
      <c r="I74" s="18">
        <f>I73+I71</f>
        <v>15028</v>
      </c>
      <c r="J74" s="18">
        <f>J73+J71</f>
        <v>17787</v>
      </c>
      <c r="K74" s="18">
        <f>K73+K71</f>
        <v>22701</v>
      </c>
      <c r="L74" s="18">
        <f>L73+L71</f>
        <v>26865</v>
      </c>
      <c r="M74" s="18">
        <f>M73+M71</f>
        <v>82382</v>
      </c>
      <c r="O74" s="18">
        <f>O73+O71</f>
        <v>30101</v>
      </c>
      <c r="P74" s="18">
        <f>P73+P71</f>
        <v>36550</v>
      </c>
      <c r="Q74" s="22">
        <f>Q73+Q71</f>
        <v>42469</v>
      </c>
      <c r="R74" s="22">
        <f>R73+R71</f>
        <v>48230</v>
      </c>
      <c r="S74" s="22">
        <f>S73+S71</f>
        <v>157351</v>
      </c>
      <c r="T74" s="22"/>
      <c r="U74" s="18">
        <f>U73+U71</f>
        <v>51421</v>
      </c>
      <c r="V74" s="18">
        <f>V73+V71</f>
        <v>56156</v>
      </c>
      <c r="W74" s="22">
        <f>W73+W71</f>
        <v>63089</v>
      </c>
      <c r="X74" s="22">
        <f>X73+X71</f>
        <v>76609</v>
      </c>
      <c r="Y74" s="22">
        <f>Y73+Y71</f>
        <v>247275</v>
      </c>
      <c r="AA74" s="18">
        <f>AA73+AA71</f>
        <v>76332</v>
      </c>
      <c r="AB74" s="22">
        <f>AB73+AB71</f>
        <v>77203</v>
      </c>
      <c r="AC74" s="22">
        <f>AC73+AC71</f>
        <v>74902</v>
      </c>
      <c r="AD74" s="22">
        <f>AD73+AD71</f>
        <v>82903</v>
      </c>
      <c r="AE74" s="22">
        <f>AE73+AE71</f>
        <v>311324</v>
      </c>
      <c r="AG74" s="18">
        <f>AG73+AG71</f>
        <v>81233</v>
      </c>
      <c r="AH74" s="22">
        <f>AH73+AH71</f>
        <v>75951</v>
      </c>
      <c r="AI74" s="22" t="e">
        <f>AI73+AI71</f>
        <v>#REF!</v>
      </c>
      <c r="AJ74" s="22">
        <f>AJ73+AJ71</f>
        <v>86110</v>
      </c>
      <c r="AK74" s="22" t="e">
        <f>AK73+AK71</f>
        <v>#REF!</v>
      </c>
      <c r="AS74" s="22"/>
      <c r="AT74" s="22">
        <f>AT73+AT71</f>
        <v>66391</v>
      </c>
      <c r="AU74" s="22">
        <f>AU73+AU71</f>
        <v>0</v>
      </c>
      <c r="AV74" s="80" t="e">
        <f>AV73+AV71</f>
        <v>#REF!</v>
      </c>
    </row>
    <row r="75" spans="1:48"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21"/>
      <c r="R75" s="21"/>
      <c r="S75" s="20"/>
      <c r="T75" s="20"/>
      <c r="U75" s="20"/>
      <c r="V75" s="20"/>
      <c r="W75" s="20"/>
      <c r="X75" s="20"/>
      <c r="Y75" s="20"/>
      <c r="AA75" s="20"/>
      <c r="AB75" s="20"/>
      <c r="AC75" s="20"/>
      <c r="AD75" s="20"/>
      <c r="AE75" s="20"/>
      <c r="AG75" s="20"/>
      <c r="AH75" s="20"/>
      <c r="AI75" s="20"/>
      <c r="AJ75" s="20"/>
      <c r="AT75" s="20"/>
      <c r="AU75" s="20"/>
      <c r="AV75" s="87"/>
    </row>
    <row r="76" spans="1:48">
      <c r="B76" t="s">
        <v>27</v>
      </c>
      <c r="C76" s="21">
        <f>C74/C77</f>
        <v>4.0896693442929198E-2</v>
      </c>
      <c r="D76" s="21">
        <f>D74/D77</f>
        <v>7.4128462925523192E-2</v>
      </c>
      <c r="E76" s="21">
        <f>E74/E77</f>
        <v>8.7803983868996696E-2</v>
      </c>
      <c r="F76" s="21">
        <f>F74/F77</f>
        <v>0.10320014120266656</v>
      </c>
      <c r="G76" s="21">
        <f>G74/G77</f>
        <v>0.30964221153518195</v>
      </c>
      <c r="H76" s="20"/>
      <c r="I76" s="21">
        <f>I74/I77</f>
        <v>0.10203555084803302</v>
      </c>
      <c r="J76" s="21">
        <f>J74/J77</f>
        <v>0.11859106849972664</v>
      </c>
      <c r="K76" s="21">
        <f>K74/K77</f>
        <v>0.14188657074640298</v>
      </c>
      <c r="L76" s="21">
        <f>L74/L77</f>
        <v>0.15774639617157452</v>
      </c>
      <c r="M76" s="21">
        <f>M74/M77</f>
        <v>0.52491334488734831</v>
      </c>
      <c r="O76" s="12">
        <f>O74/O77</f>
        <v>0.1704048821358212</v>
      </c>
      <c r="P76" s="12">
        <f>P74/P77</f>
        <v>0.20492492627188016</v>
      </c>
      <c r="Q76" s="21">
        <f>Q74/Q77</f>
        <v>0.2365130901132193</v>
      </c>
      <c r="R76" s="21">
        <f>R74/R77</f>
        <v>0.26597622041338537</v>
      </c>
      <c r="S76" s="35">
        <f>S74/S77</f>
        <v>0.87675377500417895</v>
      </c>
      <c r="T76" s="35"/>
      <c r="U76" s="35">
        <f>U74/U77</f>
        <v>0.27768267460133167</v>
      </c>
      <c r="V76" s="35">
        <f>V74/V77</f>
        <v>0.29960732425626363</v>
      </c>
      <c r="W76" s="35">
        <f>W74/W77</f>
        <v>0.3377952207831148</v>
      </c>
      <c r="X76" s="35">
        <f>X74/X77</f>
        <v>0.41038923470863642</v>
      </c>
      <c r="Y76" s="35">
        <f>Y74/Y77</f>
        <v>1.3243871479146694</v>
      </c>
      <c r="AA76" s="35">
        <f>AA74/AA77</f>
        <v>0.40857268260306379</v>
      </c>
      <c r="AB76" s="35">
        <f>AB74/AB77</f>
        <v>0.40854633010530772</v>
      </c>
      <c r="AC76" s="35">
        <f>AC74/AC77</f>
        <v>0.39767665344652747</v>
      </c>
      <c r="AD76" s="35">
        <f>AD74/AD77</f>
        <v>0.44454632712921405</v>
      </c>
      <c r="AE76" s="35">
        <f>AE74/AE77</f>
        <v>1.6614402664076593</v>
      </c>
      <c r="AG76" s="35">
        <f>AG74/AG77</f>
        <v>0.43167023588740749</v>
      </c>
      <c r="AH76" s="35">
        <f>AH74/AH77</f>
        <v>0.40067842748317117</v>
      </c>
      <c r="AI76" s="35" t="e">
        <f>AI74/AI77</f>
        <v>#REF!</v>
      </c>
      <c r="AJ76" s="35">
        <f>AJ74/AJ77</f>
        <v>0.45652392893686283</v>
      </c>
      <c r="AK76" s="35" t="e">
        <f>AK74/AK77</f>
        <v>#REF!</v>
      </c>
      <c r="AS76" s="35"/>
      <c r="AT76" s="35">
        <f>AT74/AT77</f>
        <v>0.35125097215535439</v>
      </c>
      <c r="AU76" s="35" t="e">
        <f>AU74/AU77</f>
        <v>#DIV/0!</v>
      </c>
      <c r="AV76" s="93" t="e">
        <f>AV74/AV77</f>
        <v>#REF!</v>
      </c>
    </row>
    <row r="77" spans="1:48">
      <c r="B77" t="s">
        <v>37</v>
      </c>
      <c r="C77" s="23">
        <v>133825</v>
      </c>
      <c r="D77" s="23">
        <v>146408</v>
      </c>
      <c r="E77" s="23">
        <v>147294</v>
      </c>
      <c r="F77" s="23">
        <v>147306</v>
      </c>
      <c r="G77" s="23">
        <v>146595</v>
      </c>
      <c r="H77" s="23"/>
      <c r="I77" s="23">
        <v>147282</v>
      </c>
      <c r="J77" s="23">
        <v>149986</v>
      </c>
      <c r="K77" s="23">
        <v>159994</v>
      </c>
      <c r="L77" s="23">
        <v>170305</v>
      </c>
      <c r="M77" s="23">
        <v>156944</v>
      </c>
      <c r="O77" s="23">
        <v>176644</v>
      </c>
      <c r="P77" s="23">
        <v>178358</v>
      </c>
      <c r="Q77" s="23">
        <v>179563</v>
      </c>
      <c r="R77" s="23">
        <v>181332</v>
      </c>
      <c r="S77" s="23">
        <v>179470</v>
      </c>
      <c r="T77" s="23"/>
      <c r="U77" s="23">
        <v>185179</v>
      </c>
      <c r="V77" s="23">
        <v>187432</v>
      </c>
      <c r="W77" s="23">
        <v>186767</v>
      </c>
      <c r="X77" s="23">
        <v>186674</v>
      </c>
      <c r="Y77" s="23">
        <v>186709</v>
      </c>
      <c r="AA77" s="23">
        <v>186826</v>
      </c>
      <c r="AB77" s="23">
        <v>188970</v>
      </c>
      <c r="AC77" s="23">
        <v>188349</v>
      </c>
      <c r="AD77" s="23">
        <v>186489</v>
      </c>
      <c r="AE77" s="23">
        <v>187382</v>
      </c>
      <c r="AG77" s="23">
        <f>AG59</f>
        <v>188183</v>
      </c>
      <c r="AH77" s="23">
        <f>AH59</f>
        <v>189556</v>
      </c>
      <c r="AI77" s="23">
        <f>AI59</f>
        <v>188273</v>
      </c>
      <c r="AJ77" s="23">
        <v>188621</v>
      </c>
      <c r="AK77" s="17">
        <v>188658</v>
      </c>
      <c r="AS77" s="23"/>
      <c r="AT77" s="23">
        <f>+AT59</f>
        <v>189013</v>
      </c>
      <c r="AU77" s="23">
        <f>+AU59</f>
        <v>0</v>
      </c>
      <c r="AV77" s="89">
        <f>+AV59</f>
        <v>190000</v>
      </c>
    </row>
    <row r="78" spans="1:48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O78" s="12"/>
      <c r="P78" s="12"/>
      <c r="Q78" s="21"/>
      <c r="R78" s="21"/>
      <c r="S78" s="20"/>
      <c r="T78" s="20"/>
      <c r="U78" s="50">
        <f>U76/O76-1</f>
        <v>0.62954647261810681</v>
      </c>
      <c r="V78" s="50">
        <f>V76/P76-1</f>
        <v>0.4620345592256816</v>
      </c>
      <c r="W78" s="50">
        <f>W76/Q76-1</f>
        <v>0.42823055003598975</v>
      </c>
      <c r="X78" s="50">
        <f>X76/R76-1</f>
        <v>0.54295460726076028</v>
      </c>
      <c r="Y78" s="20"/>
      <c r="AA78" s="50">
        <f>AA76/U76-1</f>
        <v>0.47136541085845773</v>
      </c>
      <c r="AB78" s="62">
        <f>AB76/V76-1</f>
        <v>0.3636059502866662</v>
      </c>
      <c r="AC78" s="62">
        <f>AC76/W76-1</f>
        <v>0.1772714028475264</v>
      </c>
      <c r="AD78" s="62">
        <f>AD76/X76-1</f>
        <v>8.3230965950722657E-2</v>
      </c>
      <c r="AE78" s="62">
        <f>AE76/Y76-1</f>
        <v>0.25449742473241388</v>
      </c>
      <c r="AG78" s="62">
        <f>AG76/AA76-1</f>
        <v>5.6532299558518018E-2</v>
      </c>
      <c r="AH78" s="62"/>
      <c r="AI78" s="62"/>
      <c r="AJ78" s="62"/>
      <c r="AS78" s="62"/>
      <c r="AT78" s="113"/>
      <c r="AU78" s="113"/>
      <c r="AV78" s="99"/>
    </row>
    <row r="79" spans="1:48">
      <c r="A79" s="52"/>
      <c r="B79" s="52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52"/>
      <c r="O79" s="118"/>
      <c r="P79" s="118"/>
      <c r="Q79" s="34"/>
      <c r="R79" s="34"/>
      <c r="S79" s="119"/>
      <c r="T79" s="119"/>
      <c r="U79" s="119"/>
      <c r="V79" s="119"/>
      <c r="W79" s="119"/>
      <c r="X79" s="119"/>
      <c r="Y79" s="119"/>
      <c r="Z79" s="52"/>
      <c r="AA79" s="119"/>
      <c r="AB79" s="119"/>
      <c r="AC79" s="119"/>
      <c r="AD79" s="119"/>
      <c r="AE79" s="119"/>
      <c r="AF79" s="52"/>
      <c r="AG79" s="52"/>
      <c r="AH79" s="52"/>
      <c r="AI79" s="52"/>
      <c r="AJ79" s="119"/>
      <c r="AK79" s="52"/>
      <c r="AL79" s="52"/>
      <c r="AM79" s="52"/>
      <c r="AN79" s="31"/>
      <c r="AO79" s="31"/>
      <c r="AP79" s="31"/>
      <c r="AQ79" s="31"/>
      <c r="AR79" s="52"/>
      <c r="AS79" s="119"/>
      <c r="AT79" s="120"/>
      <c r="AU79" s="120"/>
      <c r="AV79" s="121"/>
    </row>
    <row r="80" spans="1:48">
      <c r="A80" s="122" t="s">
        <v>19</v>
      </c>
      <c r="B80" s="122"/>
      <c r="C80" s="18">
        <f>C66</f>
        <v>2018</v>
      </c>
      <c r="D80" s="18">
        <f>D66</f>
        <v>3264</v>
      </c>
      <c r="E80" s="18">
        <f>E66</f>
        <v>634</v>
      </c>
      <c r="F80" s="18">
        <f>F66</f>
        <v>852</v>
      </c>
      <c r="G80" s="18">
        <f>G66</f>
        <v>6768</v>
      </c>
      <c r="H80" s="19"/>
      <c r="I80" s="18">
        <f>I66</f>
        <v>0</v>
      </c>
      <c r="J80" s="18">
        <f>J66</f>
        <v>0</v>
      </c>
      <c r="K80" s="18">
        <f>K66</f>
        <v>1370</v>
      </c>
      <c r="L80" s="18">
        <f>L66</f>
        <v>0</v>
      </c>
      <c r="M80" s="18">
        <f>M66</f>
        <v>1370</v>
      </c>
      <c r="O80" s="18">
        <f>O66</f>
        <v>0</v>
      </c>
      <c r="P80" s="18">
        <f>P66</f>
        <v>0</v>
      </c>
      <c r="Q80" s="22">
        <f>Q66</f>
        <v>0</v>
      </c>
      <c r="R80" s="22">
        <f>R66</f>
        <v>0</v>
      </c>
      <c r="S80" s="22">
        <f t="shared" ref="S80:S86" si="13">SUM(O80:R80)</f>
        <v>0</v>
      </c>
      <c r="T80" s="22"/>
      <c r="U80" s="18">
        <f>U66</f>
        <v>1</v>
      </c>
      <c r="V80" s="18">
        <f>V66</f>
        <v>0</v>
      </c>
      <c r="W80" s="22">
        <f>W66</f>
        <v>2</v>
      </c>
      <c r="X80" s="22">
        <f>X66</f>
        <v>0</v>
      </c>
      <c r="Y80" s="22">
        <f>SUM(U80:X80)</f>
        <v>3</v>
      </c>
      <c r="AA80" s="18">
        <f>AA62</f>
        <v>36911</v>
      </c>
      <c r="AB80" s="18">
        <f t="shared" ref="AB80:AK80" si="14">AB62</f>
        <v>34334</v>
      </c>
      <c r="AC80" s="18">
        <f t="shared" si="14"/>
        <v>33360</v>
      </c>
      <c r="AD80" s="18">
        <f t="shared" si="14"/>
        <v>40533</v>
      </c>
      <c r="AE80" s="18">
        <f t="shared" si="14"/>
        <v>145138</v>
      </c>
      <c r="AF80" s="18">
        <f t="shared" si="14"/>
        <v>0</v>
      </c>
      <c r="AG80" s="18">
        <f t="shared" si="14"/>
        <v>37081</v>
      </c>
      <c r="AH80" s="18">
        <f t="shared" si="14"/>
        <v>36007</v>
      </c>
      <c r="AI80" s="18" t="e">
        <f t="shared" si="14"/>
        <v>#REF!</v>
      </c>
      <c r="AJ80" s="18">
        <f t="shared" si="14"/>
        <v>40080</v>
      </c>
      <c r="AK80" s="18" t="e">
        <f t="shared" si="14"/>
        <v>#REF!</v>
      </c>
      <c r="AT80" s="18">
        <f t="shared" ref="AT80:AU85" si="15">AT62</f>
        <v>40878</v>
      </c>
      <c r="AU80" s="18">
        <f t="shared" si="15"/>
        <v>0</v>
      </c>
      <c r="AV80" s="80" t="e">
        <f t="shared" ref="AV80:AV85" si="16">AV62</f>
        <v>#REF!</v>
      </c>
    </row>
    <row r="81" spans="1:48">
      <c r="A81" s="122"/>
      <c r="B81" s="122" t="s">
        <v>67</v>
      </c>
      <c r="C81" s="18">
        <f>C52</f>
        <v>0</v>
      </c>
      <c r="D81" s="18">
        <f>D52</f>
        <v>0</v>
      </c>
      <c r="E81" s="18">
        <v>12</v>
      </c>
      <c r="F81" s="18">
        <f>F52</f>
        <v>0</v>
      </c>
      <c r="G81" s="18">
        <f>G52</f>
        <v>0</v>
      </c>
      <c r="H81" s="19"/>
      <c r="I81" s="18">
        <f>I52</f>
        <v>0</v>
      </c>
      <c r="J81" s="18">
        <f>J52</f>
        <v>0</v>
      </c>
      <c r="K81" s="18">
        <f>K52</f>
        <v>0</v>
      </c>
      <c r="L81" s="18">
        <f>L52</f>
        <v>0</v>
      </c>
      <c r="M81" s="18">
        <f>M52</f>
        <v>0</v>
      </c>
      <c r="O81" s="18">
        <f>O52</f>
        <v>0</v>
      </c>
      <c r="P81" s="18">
        <f>+P52</f>
        <v>0</v>
      </c>
      <c r="Q81" s="22">
        <v>1943.2</v>
      </c>
      <c r="R81" s="22">
        <v>2047</v>
      </c>
      <c r="S81" s="22">
        <f t="shared" si="13"/>
        <v>3990.2</v>
      </c>
      <c r="T81" s="22"/>
      <c r="U81" s="18">
        <f>U52</f>
        <v>0</v>
      </c>
      <c r="V81" s="18">
        <f>V52</f>
        <v>0</v>
      </c>
      <c r="W81" s="18">
        <f>W52</f>
        <v>0</v>
      </c>
      <c r="X81" s="18">
        <f>X52</f>
        <v>0</v>
      </c>
      <c r="Y81" s="22">
        <f>SUM(U81:X81)</f>
        <v>0</v>
      </c>
      <c r="AA81" s="18">
        <f t="shared" ref="AA81:AK81" si="17">AA63</f>
        <v>3590</v>
      </c>
      <c r="AB81" s="18">
        <f t="shared" si="17"/>
        <v>3491</v>
      </c>
      <c r="AC81" s="18">
        <f t="shared" si="17"/>
        <v>3173</v>
      </c>
      <c r="AD81" s="18">
        <f t="shared" si="17"/>
        <v>3651</v>
      </c>
      <c r="AE81" s="18">
        <f t="shared" si="17"/>
        <v>13905</v>
      </c>
      <c r="AF81" s="18">
        <f t="shared" si="17"/>
        <v>0</v>
      </c>
      <c r="AG81" s="18">
        <f t="shared" si="17"/>
        <v>4239</v>
      </c>
      <c r="AH81" s="18">
        <f t="shared" si="17"/>
        <v>4238</v>
      </c>
      <c r="AI81" s="18">
        <f t="shared" si="17"/>
        <v>4103</v>
      </c>
      <c r="AJ81" s="18">
        <f t="shared" si="17"/>
        <v>4142</v>
      </c>
      <c r="AK81" s="18">
        <f t="shared" si="17"/>
        <v>16722</v>
      </c>
      <c r="AT81" s="18">
        <f t="shared" si="15"/>
        <v>4108</v>
      </c>
      <c r="AU81" s="18">
        <f t="shared" si="15"/>
        <v>0</v>
      </c>
      <c r="AV81" s="80" t="e">
        <f t="shared" si="16"/>
        <v>#REF!</v>
      </c>
    </row>
    <row r="82" spans="1:48">
      <c r="A82" s="122"/>
      <c r="B82" s="122" t="s">
        <v>65</v>
      </c>
      <c r="C82" s="18">
        <f>+C48+C45+C42+C34</f>
        <v>-363</v>
      </c>
      <c r="D82" s="18">
        <f>+D48+D45+D42+D34</f>
        <v>4685</v>
      </c>
      <c r="E82" s="18">
        <f>+E48+E45+E42+E34</f>
        <v>9829</v>
      </c>
      <c r="F82" s="18">
        <f>+F48+F45+F42+F34</f>
        <v>13267</v>
      </c>
      <c r="G82" s="18">
        <f>+G48+G45+G42+G34</f>
        <v>27418</v>
      </c>
      <c r="H82" s="19"/>
      <c r="I82" s="18">
        <f>+I48+I45+I42+I34</f>
        <v>12352</v>
      </c>
      <c r="J82" s="18">
        <f>+J48+J45+J42+J34</f>
        <v>15727</v>
      </c>
      <c r="K82" s="18">
        <f>+K48+K45+K42+K34</f>
        <v>273926</v>
      </c>
      <c r="L82" s="18">
        <f>+L48+L45+L42+L34</f>
        <v>29543</v>
      </c>
      <c r="M82" s="18">
        <f>+M48+M45+M42+M34</f>
        <v>331548</v>
      </c>
      <c r="O82" s="18">
        <f>+O48+O45+O42+O34</f>
        <v>16635</v>
      </c>
      <c r="P82" s="18">
        <f>+P48+P45+P42+P34</f>
        <v>17273</v>
      </c>
      <c r="Q82" s="22">
        <v>14514</v>
      </c>
      <c r="R82" s="22">
        <v>14792</v>
      </c>
      <c r="S82" s="22">
        <f t="shared" si="13"/>
        <v>63214</v>
      </c>
      <c r="T82" s="22"/>
      <c r="U82" s="18">
        <f>+U48+U45+U42+U34</f>
        <v>26519</v>
      </c>
      <c r="V82" s="18">
        <f>+V48+V45+V42+V34</f>
        <v>29249</v>
      </c>
      <c r="W82" s="18">
        <f>+W48+W45+W42+W34</f>
        <v>34285</v>
      </c>
      <c r="X82" s="18">
        <f>+X48+X45+X42+X34</f>
        <v>45584</v>
      </c>
      <c r="Y82" s="18">
        <f>+Y48+Y45+Y42+Y34</f>
        <v>135637</v>
      </c>
      <c r="AA82" s="18">
        <f t="shared" ref="AA82:AK82" si="18">AA64</f>
        <v>11251</v>
      </c>
      <c r="AB82" s="18">
        <f t="shared" si="18"/>
        <v>16997</v>
      </c>
      <c r="AC82" s="18">
        <f t="shared" si="18"/>
        <v>14122</v>
      </c>
      <c r="AD82" s="18">
        <f t="shared" si="18"/>
        <v>15529</v>
      </c>
      <c r="AE82" s="18">
        <f t="shared" si="18"/>
        <v>57899</v>
      </c>
      <c r="AF82" s="18">
        <f t="shared" si="18"/>
        <v>0</v>
      </c>
      <c r="AG82" s="18">
        <f t="shared" si="18"/>
        <v>15067</v>
      </c>
      <c r="AH82" s="18">
        <f t="shared" si="18"/>
        <v>13320</v>
      </c>
      <c r="AI82" s="18">
        <f t="shared" si="18"/>
        <v>13612</v>
      </c>
      <c r="AJ82" s="18">
        <f t="shared" si="18"/>
        <v>16798</v>
      </c>
      <c r="AK82" s="18">
        <f t="shared" si="18"/>
        <v>58797</v>
      </c>
      <c r="AT82" s="18">
        <f t="shared" si="15"/>
        <v>19108</v>
      </c>
      <c r="AU82" s="18">
        <f t="shared" si="15"/>
        <v>0</v>
      </c>
      <c r="AV82" s="80" t="e">
        <f t="shared" si="16"/>
        <v>#REF!</v>
      </c>
    </row>
    <row r="83" spans="1:48">
      <c r="A83" s="122"/>
      <c r="B83" s="122" t="s">
        <v>66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9"/>
      <c r="I83" s="18">
        <v>0</v>
      </c>
      <c r="J83" s="18">
        <v>0</v>
      </c>
      <c r="K83" s="18">
        <v>0</v>
      </c>
      <c r="L83" s="18">
        <v>0</v>
      </c>
      <c r="M83" s="18">
        <v>0</v>
      </c>
      <c r="O83" s="18">
        <v>6</v>
      </c>
      <c r="P83" s="18">
        <v>27</v>
      </c>
      <c r="Q83" s="22">
        <v>129</v>
      </c>
      <c r="R83" s="22">
        <v>136</v>
      </c>
      <c r="S83" s="22">
        <f t="shared" si="13"/>
        <v>298</v>
      </c>
      <c r="T83" s="22"/>
      <c r="U83" s="18">
        <v>188</v>
      </c>
      <c r="V83" s="18">
        <v>401</v>
      </c>
      <c r="W83" s="18">
        <v>537</v>
      </c>
      <c r="X83" s="18">
        <v>703</v>
      </c>
      <c r="Y83" s="22">
        <f t="shared" ref="Y83:Y89" si="19">SUM(U83:X83)</f>
        <v>1829</v>
      </c>
      <c r="AA83" s="18">
        <f t="shared" ref="AA83:AK83" si="20">AA65</f>
        <v>861</v>
      </c>
      <c r="AB83" s="18">
        <f t="shared" si="20"/>
        <v>1014</v>
      </c>
      <c r="AC83" s="18">
        <f t="shared" si="20"/>
        <v>1118</v>
      </c>
      <c r="AD83" s="18">
        <f t="shared" si="20"/>
        <v>1219</v>
      </c>
      <c r="AE83" s="18">
        <f t="shared" si="20"/>
        <v>4212</v>
      </c>
      <c r="AF83" s="18">
        <f t="shared" si="20"/>
        <v>0</v>
      </c>
      <c r="AG83" s="18">
        <f t="shared" si="20"/>
        <v>1307</v>
      </c>
      <c r="AH83" s="18">
        <f t="shared" si="20"/>
        <v>1461</v>
      </c>
      <c r="AI83" s="18">
        <f t="shared" si="20"/>
        <v>1794</v>
      </c>
      <c r="AJ83" s="18">
        <f t="shared" si="20"/>
        <v>1851</v>
      </c>
      <c r="AK83" s="18">
        <f t="shared" si="20"/>
        <v>6413</v>
      </c>
      <c r="AT83" s="18">
        <f t="shared" si="15"/>
        <v>1875</v>
      </c>
      <c r="AU83" s="18">
        <f>AU65</f>
        <v>0</v>
      </c>
      <c r="AV83" s="80">
        <f t="shared" si="16"/>
        <v>1964</v>
      </c>
    </row>
    <row r="84" spans="1:48">
      <c r="A84" s="122"/>
      <c r="B84" s="122" t="s">
        <v>20</v>
      </c>
      <c r="C84" s="18">
        <f>-+C61</f>
        <v>0</v>
      </c>
      <c r="D84" s="18">
        <f>-+D61</f>
        <v>0</v>
      </c>
      <c r="E84" s="18">
        <f>-+E61</f>
        <v>0</v>
      </c>
      <c r="F84" s="18">
        <f>-+F61</f>
        <v>0</v>
      </c>
      <c r="G84" s="18">
        <f>-+G61</f>
        <v>0</v>
      </c>
      <c r="H84" s="19"/>
      <c r="I84" s="18">
        <f>-+I61</f>
        <v>0</v>
      </c>
      <c r="J84" s="18">
        <f>-+J61</f>
        <v>0</v>
      </c>
      <c r="K84" s="18">
        <f>-+K61</f>
        <v>0</v>
      </c>
      <c r="L84" s="18">
        <f>-+L61</f>
        <v>0</v>
      </c>
      <c r="M84" s="18">
        <f>-+M61</f>
        <v>0</v>
      </c>
      <c r="O84" s="18">
        <f>-+O61</f>
        <v>0</v>
      </c>
      <c r="P84" s="18">
        <v>0</v>
      </c>
      <c r="Q84" s="21">
        <v>0</v>
      </c>
      <c r="R84" s="21">
        <v>0</v>
      </c>
      <c r="S84" s="22">
        <f t="shared" si="13"/>
        <v>0</v>
      </c>
      <c r="T84" s="22"/>
      <c r="U84" s="18">
        <f>+-U61</f>
        <v>0</v>
      </c>
      <c r="V84" s="18">
        <v>0</v>
      </c>
      <c r="W84" s="22">
        <v>2</v>
      </c>
      <c r="X84" s="21">
        <v>0</v>
      </c>
      <c r="Y84" s="22">
        <f t="shared" si="19"/>
        <v>2</v>
      </c>
      <c r="AA84" s="18">
        <f t="shared" ref="AA84:AK84" si="21">AA66</f>
        <v>0</v>
      </c>
      <c r="AB84" s="18">
        <f t="shared" si="21"/>
        <v>0</v>
      </c>
      <c r="AC84" s="18">
        <f t="shared" si="21"/>
        <v>0</v>
      </c>
      <c r="AD84" s="18">
        <f t="shared" si="21"/>
        <v>0</v>
      </c>
      <c r="AE84" s="18">
        <f t="shared" si="21"/>
        <v>0</v>
      </c>
      <c r="AF84" s="18">
        <f t="shared" si="21"/>
        <v>0</v>
      </c>
      <c r="AG84" s="18">
        <f t="shared" si="21"/>
        <v>0</v>
      </c>
      <c r="AH84" s="18">
        <f t="shared" si="21"/>
        <v>0</v>
      </c>
      <c r="AI84" s="18">
        <f t="shared" si="21"/>
        <v>0</v>
      </c>
      <c r="AJ84" s="18">
        <f t="shared" si="21"/>
        <v>0</v>
      </c>
      <c r="AK84" s="18">
        <f t="shared" si="21"/>
        <v>0</v>
      </c>
      <c r="AT84" s="18">
        <f t="shared" si="15"/>
        <v>0</v>
      </c>
      <c r="AU84" s="18">
        <f>AU66</f>
        <v>0</v>
      </c>
      <c r="AV84" s="80">
        <f t="shared" si="16"/>
        <v>0</v>
      </c>
    </row>
    <row r="85" spans="1:48">
      <c r="A85" s="122"/>
      <c r="B85" s="122" t="s">
        <v>21</v>
      </c>
      <c r="C85" s="18">
        <v>0</v>
      </c>
      <c r="D85" s="18">
        <v>0</v>
      </c>
      <c r="E85" s="18">
        <v>0</v>
      </c>
      <c r="F85" s="18">
        <v>0</v>
      </c>
      <c r="G85" s="18">
        <f>SUM(C85:F85)</f>
        <v>0</v>
      </c>
      <c r="H85" s="19"/>
      <c r="I85" s="18">
        <v>0</v>
      </c>
      <c r="J85" s="18">
        <v>0</v>
      </c>
      <c r="K85" s="18">
        <v>-255345</v>
      </c>
      <c r="L85" s="18">
        <v>-3482</v>
      </c>
      <c r="M85" s="18">
        <f>SUM(I85:L85)</f>
        <v>-258827</v>
      </c>
      <c r="O85" s="18">
        <v>0</v>
      </c>
      <c r="P85" s="18">
        <v>0</v>
      </c>
      <c r="Q85" s="21">
        <v>0</v>
      </c>
      <c r="R85" s="21">
        <v>0</v>
      </c>
      <c r="S85" s="22">
        <f t="shared" si="13"/>
        <v>0</v>
      </c>
      <c r="T85" s="22"/>
      <c r="U85" s="18">
        <v>0</v>
      </c>
      <c r="V85" s="18">
        <v>0</v>
      </c>
      <c r="W85" s="21">
        <v>0</v>
      </c>
      <c r="X85" s="21">
        <v>0</v>
      </c>
      <c r="Y85" s="22">
        <f t="shared" si="19"/>
        <v>0</v>
      </c>
      <c r="AA85" s="18">
        <f t="shared" ref="AA85:AK85" si="22">AA67</f>
        <v>0</v>
      </c>
      <c r="AB85" s="18">
        <f t="shared" si="22"/>
        <v>0</v>
      </c>
      <c r="AC85" s="18">
        <f t="shared" si="22"/>
        <v>0</v>
      </c>
      <c r="AD85" s="18">
        <f t="shared" si="22"/>
        <v>0</v>
      </c>
      <c r="AE85" s="18">
        <f t="shared" si="22"/>
        <v>0</v>
      </c>
      <c r="AF85" s="18">
        <f t="shared" si="22"/>
        <v>0</v>
      </c>
      <c r="AG85" s="18">
        <f t="shared" si="22"/>
        <v>0</v>
      </c>
      <c r="AH85" s="18">
        <f t="shared" si="22"/>
        <v>0</v>
      </c>
      <c r="AI85" s="18">
        <f t="shared" si="22"/>
        <v>0</v>
      </c>
      <c r="AJ85" s="18">
        <f t="shared" si="22"/>
        <v>0</v>
      </c>
      <c r="AK85" s="18">
        <f t="shared" si="22"/>
        <v>0</v>
      </c>
      <c r="AT85" s="18">
        <f t="shared" si="15"/>
        <v>0</v>
      </c>
      <c r="AU85" s="18">
        <f>AU67</f>
        <v>0</v>
      </c>
      <c r="AV85" s="80">
        <f t="shared" si="16"/>
        <v>0</v>
      </c>
    </row>
    <row r="86" spans="1:48">
      <c r="A86" s="122"/>
      <c r="B86" s="122" t="s">
        <v>43</v>
      </c>
      <c r="C86" s="18">
        <v>0</v>
      </c>
      <c r="D86" s="18">
        <v>0</v>
      </c>
      <c r="E86" s="18">
        <v>0</v>
      </c>
      <c r="F86" s="18">
        <v>0</v>
      </c>
      <c r="G86" s="18">
        <f>SUM(C86:F86)</f>
        <v>0</v>
      </c>
      <c r="H86" s="19"/>
      <c r="I86" s="18">
        <v>0</v>
      </c>
      <c r="J86" s="18">
        <v>0</v>
      </c>
      <c r="K86" s="18">
        <v>0</v>
      </c>
      <c r="L86" s="18">
        <v>0</v>
      </c>
      <c r="M86" s="18">
        <v>0</v>
      </c>
      <c r="O86" s="18">
        <v>8764</v>
      </c>
      <c r="P86" s="18">
        <v>9178</v>
      </c>
      <c r="Q86" s="22">
        <v>11154</v>
      </c>
      <c r="R86" s="22">
        <v>9924</v>
      </c>
      <c r="S86" s="22">
        <f t="shared" si="13"/>
        <v>39020</v>
      </c>
      <c r="T86" s="22"/>
      <c r="U86" s="22">
        <v>0</v>
      </c>
      <c r="V86" s="22">
        <v>0</v>
      </c>
      <c r="W86" s="22">
        <v>0</v>
      </c>
      <c r="X86" s="22">
        <v>0</v>
      </c>
      <c r="Y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f>AF68</f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T86" s="22">
        <v>0</v>
      </c>
      <c r="AU86" s="22"/>
      <c r="AV86" s="84">
        <v>0</v>
      </c>
    </row>
    <row r="87" spans="1:48">
      <c r="A87" s="122"/>
      <c r="B87" s="122" t="s">
        <v>63</v>
      </c>
      <c r="C87" s="18"/>
      <c r="D87" s="18"/>
      <c r="E87" s="18"/>
      <c r="F87" s="18"/>
      <c r="G87" s="18"/>
      <c r="H87" s="19"/>
      <c r="I87" s="18">
        <v>0</v>
      </c>
      <c r="J87" s="18">
        <v>0</v>
      </c>
      <c r="K87" s="18">
        <v>0</v>
      </c>
      <c r="L87" s="18">
        <v>0</v>
      </c>
      <c r="M87" s="18">
        <v>0</v>
      </c>
      <c r="O87" s="18">
        <v>0</v>
      </c>
      <c r="P87" s="18">
        <v>0</v>
      </c>
      <c r="Q87" s="22">
        <v>0</v>
      </c>
      <c r="R87" s="22">
        <v>0</v>
      </c>
      <c r="S87" s="22">
        <v>0</v>
      </c>
      <c r="T87" s="22"/>
      <c r="U87" s="22">
        <v>0</v>
      </c>
      <c r="V87" s="22">
        <v>-178</v>
      </c>
      <c r="W87" s="22">
        <v>0</v>
      </c>
      <c r="X87" s="22">
        <v>0</v>
      </c>
      <c r="Y87" s="22">
        <f t="shared" si="19"/>
        <v>-178</v>
      </c>
      <c r="AA87" s="18">
        <f t="shared" ref="AA87:AK87" si="23">AA69</f>
        <v>0</v>
      </c>
      <c r="AB87" s="18">
        <f t="shared" si="23"/>
        <v>0</v>
      </c>
      <c r="AC87" s="18">
        <f t="shared" si="23"/>
        <v>0</v>
      </c>
      <c r="AD87" s="18">
        <f t="shared" si="23"/>
        <v>2509</v>
      </c>
      <c r="AE87" s="18">
        <f t="shared" si="23"/>
        <v>2509</v>
      </c>
      <c r="AF87" s="18">
        <f t="shared" si="23"/>
        <v>0</v>
      </c>
      <c r="AG87" s="18">
        <f t="shared" si="23"/>
        <v>454</v>
      </c>
      <c r="AH87" s="18">
        <f t="shared" si="23"/>
        <v>0</v>
      </c>
      <c r="AI87" s="18">
        <f t="shared" si="23"/>
        <v>0</v>
      </c>
      <c r="AJ87" s="18">
        <f t="shared" si="23"/>
        <v>0</v>
      </c>
      <c r="AK87" s="18">
        <f t="shared" si="23"/>
        <v>454</v>
      </c>
      <c r="AT87" s="18">
        <f t="shared" ref="AT87:AV88" si="24">AT69</f>
        <v>0</v>
      </c>
      <c r="AU87" s="18">
        <f t="shared" si="24"/>
        <v>0</v>
      </c>
      <c r="AV87" s="80">
        <f t="shared" si="24"/>
        <v>0</v>
      </c>
    </row>
    <row r="88" spans="1:48">
      <c r="A88" s="122"/>
      <c r="B88" s="122" t="s">
        <v>58</v>
      </c>
      <c r="C88" s="31">
        <f>+-C62</f>
        <v>-2921</v>
      </c>
      <c r="D88" s="31">
        <f>+-D62</f>
        <v>-6803</v>
      </c>
      <c r="E88" s="31">
        <f>+-E62</f>
        <v>-11249</v>
      </c>
      <c r="F88" s="31">
        <f>+-F62</f>
        <v>-13391</v>
      </c>
      <c r="G88" s="31">
        <f>+-G62</f>
        <v>-34364</v>
      </c>
      <c r="H88" s="19"/>
      <c r="I88" s="31">
        <f>+-I62</f>
        <v>-14079</v>
      </c>
      <c r="J88" s="31">
        <f>+-J62</f>
        <v>-15900</v>
      </c>
      <c r="K88" s="31">
        <f>+-K62</f>
        <v>-272260</v>
      </c>
      <c r="L88" s="31">
        <f>+-L62</f>
        <v>-25759</v>
      </c>
      <c r="M88" s="31">
        <f>+-M62</f>
        <v>-327998</v>
      </c>
      <c r="O88" s="31">
        <f>+-O62</f>
        <v>-11495</v>
      </c>
      <c r="P88" s="31">
        <v>-2</v>
      </c>
      <c r="Q88" s="34">
        <v>0</v>
      </c>
      <c r="R88" s="32">
        <v>-2</v>
      </c>
      <c r="S88" s="32">
        <f>SUM(O88:R88)</f>
        <v>-11499</v>
      </c>
      <c r="T88" s="38"/>
      <c r="U88" s="31">
        <f>+-U62</f>
        <v>-19179</v>
      </c>
      <c r="V88" s="31">
        <f>+-V62</f>
        <v>-21646</v>
      </c>
      <c r="W88" s="31">
        <f>+-W62</f>
        <v>-24264</v>
      </c>
      <c r="X88" s="31">
        <f>+-X62</f>
        <v>-35878</v>
      </c>
      <c r="Y88" s="32">
        <f t="shared" si="19"/>
        <v>-100967</v>
      </c>
      <c r="AA88" s="31">
        <f t="shared" ref="AA88:AK88" si="25">AA70</f>
        <v>-208</v>
      </c>
      <c r="AB88" s="31">
        <f t="shared" si="25"/>
        <v>-64</v>
      </c>
      <c r="AC88" s="31">
        <f t="shared" si="25"/>
        <v>-1</v>
      </c>
      <c r="AD88" s="31">
        <f t="shared" si="25"/>
        <v>430</v>
      </c>
      <c r="AE88" s="32">
        <f t="shared" si="25"/>
        <v>157</v>
      </c>
      <c r="AF88">
        <f t="shared" si="25"/>
        <v>0</v>
      </c>
      <c r="AG88" s="31">
        <f t="shared" si="25"/>
        <v>-455</v>
      </c>
      <c r="AH88" s="31">
        <f t="shared" si="25"/>
        <v>0</v>
      </c>
      <c r="AI88" s="31">
        <f t="shared" si="25"/>
        <v>0</v>
      </c>
      <c r="AJ88" s="32">
        <f t="shared" si="25"/>
        <v>-2</v>
      </c>
      <c r="AK88" s="32">
        <f t="shared" si="25"/>
        <v>-457</v>
      </c>
      <c r="AT88" s="32">
        <f t="shared" si="24"/>
        <v>0</v>
      </c>
      <c r="AU88" s="32">
        <f t="shared" si="24"/>
        <v>0</v>
      </c>
      <c r="AV88" s="86">
        <f t="shared" si="24"/>
        <v>0</v>
      </c>
    </row>
    <row r="89" spans="1:48">
      <c r="A89" s="122" t="s">
        <v>78</v>
      </c>
      <c r="B89" s="122"/>
      <c r="C89" s="18">
        <f>C80+C81+C82+C84+C85+C88</f>
        <v>-1266</v>
      </c>
      <c r="D89" s="18">
        <f>D80+D81+D82+D84+D85+D88</f>
        <v>1146</v>
      </c>
      <c r="E89" s="18">
        <f>E80+E81+E82+E84+E85+E88</f>
        <v>-774</v>
      </c>
      <c r="F89" s="18">
        <f>F80+F81+F82+F84+F85+F88</f>
        <v>728</v>
      </c>
      <c r="G89" s="18">
        <f>G80+G81+G82+G84+G85+G88</f>
        <v>-178</v>
      </c>
      <c r="H89" s="19"/>
      <c r="I89" s="18">
        <f>SUM(I80:I88)</f>
        <v>-1727</v>
      </c>
      <c r="J89" s="18">
        <f>SUM(J80:J88)</f>
        <v>-173</v>
      </c>
      <c r="K89" s="18">
        <f>SUM(K80:K88)</f>
        <v>-252309</v>
      </c>
      <c r="L89" s="18">
        <f>SUM(L80:L88)</f>
        <v>302</v>
      </c>
      <c r="M89" s="18">
        <f>SUM(M80:M88)</f>
        <v>-253907</v>
      </c>
      <c r="O89" s="18">
        <f>SUM(O80:O88)</f>
        <v>13910</v>
      </c>
      <c r="P89" s="18">
        <f>SUM(P80:P88)</f>
        <v>26476</v>
      </c>
      <c r="Q89" s="22">
        <f>SUM(Q80:Q88)</f>
        <v>27740.2</v>
      </c>
      <c r="R89" s="22">
        <f>SUM(R80:R88)</f>
        <v>26897</v>
      </c>
      <c r="S89" s="22">
        <f>SUM(O89:R89)</f>
        <v>95023.2</v>
      </c>
      <c r="T89" s="22"/>
      <c r="U89" s="18">
        <f>SUM(U80:U88)</f>
        <v>7529</v>
      </c>
      <c r="V89" s="18">
        <f>SUM(V80:V88)</f>
        <v>7826</v>
      </c>
      <c r="W89" s="22">
        <f>SUM(W80:W88)</f>
        <v>10562</v>
      </c>
      <c r="X89" s="22">
        <f>SUM(X80:X88)</f>
        <v>10409</v>
      </c>
      <c r="Y89" s="22">
        <f t="shared" si="19"/>
        <v>36326</v>
      </c>
      <c r="AA89" s="18">
        <f>SUM(AA80:AA88)</f>
        <v>52405</v>
      </c>
      <c r="AB89" s="22">
        <f>SUM(AB80:AB88)</f>
        <v>55772</v>
      </c>
      <c r="AC89" s="22">
        <f>SUM(AC80:AC88)</f>
        <v>51772</v>
      </c>
      <c r="AD89" s="22">
        <f>SUM(AD80:AD88)</f>
        <v>63871</v>
      </c>
      <c r="AE89" s="22">
        <f>SUM(AE80:AE88)</f>
        <v>223820</v>
      </c>
      <c r="AG89" s="22">
        <f>SUM(AG80:AG88)</f>
        <v>57693</v>
      </c>
      <c r="AH89" s="22">
        <f>SUM(AH80:AH88)</f>
        <v>55026</v>
      </c>
      <c r="AI89" s="22" t="e">
        <f>SUM(AI80:AI88)</f>
        <v>#REF!</v>
      </c>
      <c r="AJ89" s="22">
        <f>SUM(AJ80:AJ88)</f>
        <v>62869</v>
      </c>
      <c r="AK89" s="22" t="e">
        <f>SUM(AG89:AJ89)</f>
        <v>#REF!</v>
      </c>
      <c r="AT89" s="22">
        <f>SUM(AT80:AT88)</f>
        <v>65969</v>
      </c>
      <c r="AU89" s="22">
        <f>SUM(AU80:AU88)</f>
        <v>0</v>
      </c>
      <c r="AV89" s="84" t="e">
        <f>SUM(AV80:AV88)</f>
        <v>#REF!</v>
      </c>
    </row>
    <row r="90" spans="1:48">
      <c r="A90" s="122"/>
      <c r="B90" s="122"/>
      <c r="AC90" s="58"/>
      <c r="AD90" s="58"/>
      <c r="AT90"/>
      <c r="AU90"/>
    </row>
    <row r="91" spans="1:48">
      <c r="A91" s="122"/>
      <c r="B91" s="122" t="s">
        <v>38</v>
      </c>
      <c r="C91" s="31">
        <v>0</v>
      </c>
      <c r="D91" s="31">
        <v>500</v>
      </c>
      <c r="E91" s="31">
        <v>710</v>
      </c>
      <c r="F91" s="31">
        <v>710</v>
      </c>
      <c r="G91" s="31">
        <v>2851</v>
      </c>
      <c r="H91" s="18"/>
      <c r="I91" s="31">
        <v>710</v>
      </c>
      <c r="J91" s="31">
        <v>710</v>
      </c>
      <c r="K91" s="31">
        <v>710</v>
      </c>
      <c r="L91" s="32">
        <v>710</v>
      </c>
      <c r="M91" s="31">
        <v>2841</v>
      </c>
      <c r="O91" s="32">
        <v>710</v>
      </c>
      <c r="P91" s="32">
        <v>710</v>
      </c>
      <c r="Q91" s="32">
        <v>710</v>
      </c>
      <c r="R91" s="32">
        <v>710</v>
      </c>
      <c r="S91" s="32">
        <v>2841</v>
      </c>
      <c r="T91" s="38"/>
      <c r="U91" s="65">
        <f>+U50</f>
        <v>710</v>
      </c>
      <c r="V91" s="65">
        <f>+V50</f>
        <v>710</v>
      </c>
      <c r="W91" s="65">
        <f>+W50</f>
        <v>710</v>
      </c>
      <c r="X91" s="65">
        <f>+X50</f>
        <v>710</v>
      </c>
      <c r="Y91" s="65">
        <f>+Y50</f>
        <v>2840</v>
      </c>
      <c r="AA91" s="65">
        <f>+AA50</f>
        <v>710</v>
      </c>
      <c r="AB91" s="65">
        <f>+AB50</f>
        <v>434</v>
      </c>
      <c r="AC91" s="65">
        <f>+AC50</f>
        <v>416</v>
      </c>
      <c r="AD91" s="65">
        <f>+AD50</f>
        <v>479</v>
      </c>
      <c r="AE91" s="65">
        <f>+AE50</f>
        <v>1757</v>
      </c>
      <c r="AG91" s="65">
        <f>+AG50</f>
        <v>426</v>
      </c>
      <c r="AH91" s="65">
        <f>+AH50</f>
        <v>441</v>
      </c>
      <c r="AI91" s="65">
        <f>+AI50</f>
        <v>439</v>
      </c>
      <c r="AJ91" s="65">
        <f>+AJ50</f>
        <v>440</v>
      </c>
      <c r="AK91" s="65">
        <f>+AK50</f>
        <v>1746</v>
      </c>
      <c r="AS91" s="23"/>
      <c r="AT91" s="32">
        <f>+AT73</f>
        <v>422</v>
      </c>
      <c r="AU91" s="32">
        <f>+AU73</f>
        <v>0</v>
      </c>
      <c r="AV91" s="86">
        <f>+AV73</f>
        <v>422</v>
      </c>
    </row>
    <row r="92" spans="1:48">
      <c r="A92" s="122"/>
      <c r="B92" s="122" t="s">
        <v>76</v>
      </c>
      <c r="C92" s="18">
        <f>C91+C89</f>
        <v>-1266</v>
      </c>
      <c r="D92" s="18">
        <f>D91+D89</f>
        <v>1646</v>
      </c>
      <c r="E92" s="18">
        <f>E91+E89</f>
        <v>-64</v>
      </c>
      <c r="F92" s="18">
        <f>F91+F89</f>
        <v>1438</v>
      </c>
      <c r="G92" s="18">
        <f>G91+G89</f>
        <v>2673</v>
      </c>
      <c r="H92" s="18"/>
      <c r="I92" s="18">
        <f>I91+I89</f>
        <v>-1017</v>
      </c>
      <c r="J92" s="18">
        <f>J91+J89</f>
        <v>537</v>
      </c>
      <c r="K92" s="18">
        <f>K91+K89</f>
        <v>-251599</v>
      </c>
      <c r="L92" s="18">
        <f>L91+L89</f>
        <v>1012</v>
      </c>
      <c r="M92" s="18">
        <f>M91+M89</f>
        <v>-251066</v>
      </c>
      <c r="O92" s="18">
        <f>O91+O89</f>
        <v>14620</v>
      </c>
      <c r="P92" s="18">
        <f>P91+P89</f>
        <v>27186</v>
      </c>
      <c r="Q92" s="22">
        <f>Q91+Q89</f>
        <v>28450.2</v>
      </c>
      <c r="R92" s="22">
        <f>R91+R89</f>
        <v>27607</v>
      </c>
      <c r="S92" s="22">
        <f>S91+S89</f>
        <v>97864.2</v>
      </c>
      <c r="T92" s="22"/>
      <c r="U92" s="18">
        <f>U91+U89</f>
        <v>8239</v>
      </c>
      <c r="V92" s="18">
        <f>V91+V89</f>
        <v>8536</v>
      </c>
      <c r="W92" s="22">
        <f>W91+W89</f>
        <v>11272</v>
      </c>
      <c r="X92" s="22">
        <f>X91+X89</f>
        <v>11119</v>
      </c>
      <c r="Y92" s="22">
        <f>Y91+Y89</f>
        <v>39166</v>
      </c>
      <c r="AA92" s="18">
        <f>AA91+AA89</f>
        <v>53115</v>
      </c>
      <c r="AB92" s="22">
        <f>AB91+AB89</f>
        <v>56206</v>
      </c>
      <c r="AC92" s="22">
        <f>AC91+AC89</f>
        <v>52188</v>
      </c>
      <c r="AD92" s="22">
        <f>AD91+AD89</f>
        <v>64350</v>
      </c>
      <c r="AE92" s="22">
        <f>AE91+AE89</f>
        <v>225577</v>
      </c>
      <c r="AG92" s="18">
        <f>AG91+AG89</f>
        <v>58119</v>
      </c>
      <c r="AH92" s="22">
        <f>AH91+AH89</f>
        <v>55467</v>
      </c>
      <c r="AI92" s="22" t="e">
        <f>AI91+AI89</f>
        <v>#REF!</v>
      </c>
      <c r="AJ92" s="22">
        <f>AJ91+AJ89</f>
        <v>63309</v>
      </c>
      <c r="AK92" s="22" t="e">
        <f>AK91+AK89</f>
        <v>#REF!</v>
      </c>
      <c r="AS92" s="23"/>
      <c r="AT92" s="22">
        <f>AT91+AT89</f>
        <v>66391</v>
      </c>
      <c r="AU92" s="22">
        <f>AU91+AU89</f>
        <v>0</v>
      </c>
      <c r="AV92" s="84" t="e">
        <f>AV91+AV89</f>
        <v>#REF!</v>
      </c>
    </row>
    <row r="93" spans="1:48">
      <c r="A93" s="122"/>
      <c r="B93" s="122"/>
      <c r="C93" s="12"/>
      <c r="D93" s="12"/>
      <c r="E93" s="12"/>
      <c r="F93" s="12"/>
      <c r="G93" s="12"/>
      <c r="I93" s="12"/>
      <c r="J93" s="12"/>
      <c r="K93" s="12"/>
      <c r="L93" s="12"/>
      <c r="M93" s="12"/>
      <c r="O93" s="12"/>
      <c r="P93" s="12"/>
      <c r="Q93" s="21"/>
      <c r="R93" s="21"/>
      <c r="S93" s="20"/>
      <c r="T93" s="20"/>
      <c r="U93" s="20"/>
      <c r="V93" s="20"/>
      <c r="W93" s="20"/>
      <c r="X93" s="20"/>
      <c r="Y93" s="20"/>
      <c r="AA93" s="20"/>
      <c r="AB93" s="20"/>
      <c r="AC93" s="20"/>
      <c r="AD93" s="20"/>
      <c r="AE93" s="20"/>
      <c r="AG93" s="20"/>
      <c r="AH93" s="20"/>
      <c r="AI93" s="20"/>
      <c r="AJ93" s="20"/>
      <c r="AS93" s="43"/>
      <c r="AT93" s="20"/>
      <c r="AU93" s="20"/>
      <c r="AV93" s="87"/>
    </row>
    <row r="94" spans="1:48">
      <c r="A94" s="122"/>
      <c r="B94" s="122" t="s">
        <v>77</v>
      </c>
      <c r="C94" s="21">
        <f>C92/C95</f>
        <v>-9.4601158229030442E-3</v>
      </c>
      <c r="D94" s="21">
        <f>D92/D95</f>
        <v>1.1242555051636523E-2</v>
      </c>
      <c r="E94" s="21">
        <f>E92/E95</f>
        <v>-4.3450513938110173E-4</v>
      </c>
      <c r="F94" s="21">
        <f>F92/F95</f>
        <v>9.7619920437728262E-3</v>
      </c>
      <c r="G94" s="21">
        <f>G92/G95</f>
        <v>1.8233909751355776E-2</v>
      </c>
      <c r="H94" s="20"/>
      <c r="I94" s="21">
        <f>I92/I95</f>
        <v>-6.9051207886910828E-3</v>
      </c>
      <c r="J94" s="21">
        <f>J92/J95</f>
        <v>3.580334164522022E-3</v>
      </c>
      <c r="K94" s="21">
        <f>K92/K95</f>
        <v>-1.5725527207270273</v>
      </c>
      <c r="L94" s="21">
        <f>L92/L95</f>
        <v>5.9422800270103639E-3</v>
      </c>
      <c r="M94" s="21">
        <f>M92/M95</f>
        <v>-1.5997170965439902</v>
      </c>
      <c r="O94" s="12">
        <f>O92/O95</f>
        <v>8.2765335929892894E-2</v>
      </c>
      <c r="P94" s="12">
        <f>P92/P95</f>
        <v>0.15242377689814868</v>
      </c>
      <c r="Q94" s="21">
        <f>Q92/Q95</f>
        <v>0.15844132699943753</v>
      </c>
      <c r="R94" s="21">
        <f>R92/R95</f>
        <v>0.15224560474709373</v>
      </c>
      <c r="S94" s="35">
        <f>S92/S95</f>
        <v>0.54529559257814675</v>
      </c>
      <c r="T94" s="35"/>
      <c r="U94" s="35">
        <f>U92/U95</f>
        <v>4.4492086035673589E-2</v>
      </c>
      <c r="V94" s="35">
        <f>V92/V95</f>
        <v>4.5541849844210169E-2</v>
      </c>
      <c r="W94" s="35">
        <f>W92/W95</f>
        <v>6.0353274400723897E-2</v>
      </c>
      <c r="X94" s="35">
        <f>X92/X95</f>
        <v>5.9563731424836883E-2</v>
      </c>
      <c r="Y94" s="35">
        <f>Y92/Y95</f>
        <v>0.20977028423911007</v>
      </c>
      <c r="AA94" s="35">
        <f>AA92/AA95</f>
        <v>0.28430197081776626</v>
      </c>
      <c r="AB94" s="35">
        <f>AB92/AB95</f>
        <v>0.29743345504577445</v>
      </c>
      <c r="AC94" s="35">
        <f>AC92/AC95</f>
        <v>0.27708137553159295</v>
      </c>
      <c r="AD94" s="35">
        <f>AD92/AD95</f>
        <v>0.34506056657497225</v>
      </c>
      <c r="AE94" s="35">
        <f>AE92/AE95</f>
        <v>1.2038349467931819</v>
      </c>
      <c r="AG94" s="35">
        <f>AG92/AG95</f>
        <v>0.3088429879425878</v>
      </c>
      <c r="AH94" s="35">
        <f>AH92/AH95</f>
        <v>0.29261537487602607</v>
      </c>
      <c r="AI94" s="35" t="e">
        <f>AI92/AI95</f>
        <v>#REF!</v>
      </c>
      <c r="AJ94" s="35">
        <f>AJ92/AJ95</f>
        <v>0.33564131247316048</v>
      </c>
      <c r="AK94" s="35" t="e">
        <f>AK92/AK95</f>
        <v>#REF!</v>
      </c>
      <c r="AT94" s="35">
        <f>AT92/AT95</f>
        <v>0.35125097215535439</v>
      </c>
      <c r="AU94" s="35" t="e">
        <f>AU92/AU95</f>
        <v>#DIV/0!</v>
      </c>
      <c r="AV94" s="93" t="e">
        <f>AV92/AV95</f>
        <v>#REF!</v>
      </c>
    </row>
    <row r="95" spans="1:48">
      <c r="A95" s="122"/>
      <c r="B95" s="122" t="s">
        <v>37</v>
      </c>
      <c r="C95" s="23">
        <v>133825</v>
      </c>
      <c r="D95" s="23">
        <v>146408</v>
      </c>
      <c r="E95" s="23">
        <v>147294</v>
      </c>
      <c r="F95" s="23">
        <v>147306</v>
      </c>
      <c r="G95" s="23">
        <v>146595</v>
      </c>
      <c r="H95" s="23"/>
      <c r="I95" s="23">
        <v>147282</v>
      </c>
      <c r="J95" s="23">
        <v>149986</v>
      </c>
      <c r="K95" s="23">
        <v>159994</v>
      </c>
      <c r="L95" s="23">
        <v>170305</v>
      </c>
      <c r="M95" s="23">
        <v>156944</v>
      </c>
      <c r="O95" s="23">
        <v>176644</v>
      </c>
      <c r="P95" s="23">
        <v>178358</v>
      </c>
      <c r="Q95" s="23">
        <v>179563</v>
      </c>
      <c r="R95" s="23">
        <v>181332</v>
      </c>
      <c r="S95" s="23">
        <v>179470</v>
      </c>
      <c r="T95" s="23"/>
      <c r="U95" s="23">
        <v>185179</v>
      </c>
      <c r="V95" s="23">
        <v>187432</v>
      </c>
      <c r="W95" s="23">
        <v>186767</v>
      </c>
      <c r="X95" s="23">
        <v>186674</v>
      </c>
      <c r="Y95" s="23">
        <v>186709</v>
      </c>
      <c r="AA95" s="23">
        <v>186826</v>
      </c>
      <c r="AB95" s="23">
        <v>188970</v>
      </c>
      <c r="AC95" s="23">
        <v>188349</v>
      </c>
      <c r="AD95" s="23">
        <v>186489</v>
      </c>
      <c r="AE95" s="23">
        <v>187382</v>
      </c>
      <c r="AG95" s="23">
        <f>AG77</f>
        <v>188183</v>
      </c>
      <c r="AH95" s="23">
        <f>AH77</f>
        <v>189556</v>
      </c>
      <c r="AI95" s="23">
        <f>AI77</f>
        <v>188273</v>
      </c>
      <c r="AJ95" s="23">
        <v>188621</v>
      </c>
      <c r="AK95" s="17">
        <v>188658</v>
      </c>
      <c r="AT95" s="23">
        <f>+AT77</f>
        <v>189013</v>
      </c>
      <c r="AU95" s="23">
        <f>+AU77</f>
        <v>0</v>
      </c>
      <c r="AV95" s="89">
        <f>+AV77</f>
        <v>190000</v>
      </c>
    </row>
    <row r="96" spans="1:48">
      <c r="A96" s="122"/>
      <c r="B96" s="122"/>
      <c r="AT96"/>
      <c r="AU96"/>
    </row>
    <row r="97" spans="1:48">
      <c r="A97" s="122"/>
      <c r="B97" s="122"/>
      <c r="AG97" s="36"/>
      <c r="AH97" s="36"/>
      <c r="AI97" s="36"/>
      <c r="AJ97" s="36"/>
      <c r="AT97" s="36"/>
      <c r="AU97" s="36"/>
    </row>
    <row r="98" spans="1:48">
      <c r="A98" s="122"/>
      <c r="B98" s="122" t="s">
        <v>75</v>
      </c>
      <c r="U98" s="22">
        <v>11701</v>
      </c>
      <c r="V98" s="22">
        <v>13437</v>
      </c>
      <c r="W98" s="22">
        <v>537</v>
      </c>
      <c r="X98" s="22">
        <v>703</v>
      </c>
      <c r="Y98" s="22">
        <v>26378</v>
      </c>
      <c r="AA98" s="22">
        <v>861</v>
      </c>
      <c r="AB98" s="22">
        <v>20735</v>
      </c>
      <c r="AC98" s="22">
        <v>22434</v>
      </c>
      <c r="AD98" s="22">
        <v>18336</v>
      </c>
      <c r="AE98" s="22">
        <v>62366</v>
      </c>
      <c r="AG98" s="22">
        <v>22851</v>
      </c>
      <c r="AH98" s="22">
        <v>20236</v>
      </c>
      <c r="AI98" s="22">
        <v>18563</v>
      </c>
      <c r="AJ98" s="22">
        <v>22553</v>
      </c>
      <c r="AK98" s="22">
        <v>84203</v>
      </c>
      <c r="AT98" s="29">
        <v>27800</v>
      </c>
      <c r="AU98" s="29"/>
      <c r="AV98" s="95">
        <v>23500</v>
      </c>
    </row>
    <row r="99" spans="1:48">
      <c r="U99" s="36">
        <f>U98/U46</f>
        <v>0.36937306648146978</v>
      </c>
      <c r="V99" s="36">
        <f>V98/V46</f>
        <v>0.37711543319019952</v>
      </c>
      <c r="W99" s="36">
        <f>W98/W46</f>
        <v>1.2501163981748767E-2</v>
      </c>
      <c r="X99" s="36">
        <f>X98/X46</f>
        <v>1.2133241284086986E-2</v>
      </c>
      <c r="Y99" s="36">
        <f>Y98/Y46</f>
        <v>0.15682054635712375</v>
      </c>
      <c r="AA99" s="36">
        <f>AA98/AA46</f>
        <v>1.4033086138049058E-2</v>
      </c>
      <c r="AB99" s="36">
        <f>AB98/AB46</f>
        <v>0.36902240652084928</v>
      </c>
      <c r="AC99" s="36">
        <f>AC98/AC46</f>
        <v>0.39414596436979515</v>
      </c>
      <c r="AD99" s="36">
        <f>AD98/AD46</f>
        <v>0.30522863848983739</v>
      </c>
      <c r="AE99" s="36">
        <f>AE98/AE46</f>
        <v>0.26591340311680561</v>
      </c>
      <c r="AG99" s="36">
        <f>AG98/AG46</f>
        <v>0.37012860798859698</v>
      </c>
      <c r="AH99" s="36">
        <f>AH98/AH46</f>
        <v>0.34870416322029224</v>
      </c>
      <c r="AI99" s="36" t="e">
        <f>AI98/AI46</f>
        <v>#REF!</v>
      </c>
      <c r="AJ99" s="36">
        <f>AJ98/AJ46</f>
        <v>0.3492852607288327</v>
      </c>
      <c r="AK99" s="36" t="e">
        <f>AK98/AK46</f>
        <v>#REF!</v>
      </c>
      <c r="AT99" s="36">
        <f>AT98/AT46</f>
        <v>0.40502935734370676</v>
      </c>
      <c r="AU99" s="36" t="e">
        <f>AU98/AU46</f>
        <v>#DIV/0!</v>
      </c>
      <c r="AV99" s="126" t="e">
        <f>AV98/AV46</f>
        <v>#REF!</v>
      </c>
    </row>
    <row r="103" spans="1:48">
      <c r="AI103">
        <f>25000000/35</f>
        <v>714285.71428571432</v>
      </c>
    </row>
  </sheetData>
  <customSheetViews>
    <customSheetView guid="{EEE1B813-1284-496C-9108-7B6EBF1B66DA}" scale="85" showPageBreaks="1" fitToPage="1" printArea="1" hiddenColumns="1" state="hidden">
      <pane xSplit="18" ySplit="7" topLeftCell="AH8" activePane="bottomRight" state="frozen"/>
      <selection pane="bottomRight" activeCell="AW18" sqref="AW18"/>
      <pageMargins left="0.32" right="0.23" top="0.32" bottom="0.34" header="0.28000000000000003" footer="0.5"/>
      <pageSetup scale="51" orientation="landscape" r:id="rId1"/>
      <headerFooter alignWithMargins="0"/>
    </customSheetView>
    <customSheetView guid="{34E70CD2-0BD1-4D7B-8D7E-D37453914C37}" scale="85" fitToPage="1" hiddenColumns="1" state="hidden">
      <pane xSplit="2" ySplit="7" topLeftCell="AH8" activePane="bottomRight" state="frozen"/>
      <selection pane="bottomRight" activeCell="AW18" sqref="AW18"/>
      <pageMargins left="0.32" right="0.23" top="0.32" bottom="0.34" header="0.28000000000000003" footer="0.5"/>
      <pageSetup scale="51" orientation="landscape" r:id="rId2"/>
      <headerFooter alignWithMargins="0"/>
    </customSheetView>
    <customSheetView guid="{AED9D8D2-9EC8-44D4-BB97-5CCE0677B94B}" scale="85" fitToPage="1" hiddenColumns="1" state="hidden">
      <pane xSplit="18" ySplit="7" topLeftCell="AH8" activePane="bottomRight" state="frozen"/>
      <selection pane="bottomRight" activeCell="AW18" sqref="AW18"/>
      <pageMargins left="0.32" right="0.23" top="0.32" bottom="0.34" header="0.28000000000000003" footer="0.5"/>
      <pageSetup scale="51" orientation="landscape" r:id="rId3"/>
      <headerFooter alignWithMargins="0"/>
    </customSheetView>
  </customSheetViews>
  <mergeCells count="9">
    <mergeCell ref="P4:R4"/>
    <mergeCell ref="C6:F6"/>
    <mergeCell ref="I6:L6"/>
    <mergeCell ref="O6:R6"/>
    <mergeCell ref="AG5:AI5"/>
    <mergeCell ref="AG6:AJ6"/>
    <mergeCell ref="AJ5:AK5"/>
    <mergeCell ref="U6:X6"/>
    <mergeCell ref="AA6:AD6"/>
  </mergeCells>
  <phoneticPr fontId="5" type="noConversion"/>
  <pageMargins left="0.32" right="0.23" top="0.32" bottom="0.34" header="0.28000000000000003" footer="0.5"/>
  <pageSetup scale="51" orientation="landscape" r:id="rId4"/>
  <headerFooter alignWithMargins="0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Metrics</vt:lpstr>
      <vt:lpstr>Public Metrics (old)</vt:lpstr>
      <vt:lpstr>'Public Metrics'!Print_Area</vt:lpstr>
      <vt:lpstr>'Public Metrics (old)'!Print_Area</vt:lpstr>
    </vt:vector>
  </TitlesOfParts>
  <Company>Akamai Technologies,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ssmith</dc:creator>
  <cp:lastModifiedBy>Faris, Noelle</cp:lastModifiedBy>
  <cp:lastPrinted>2013-07-24T15:53:50Z</cp:lastPrinted>
  <dcterms:created xsi:type="dcterms:W3CDTF">2006-03-21T16:29:17Z</dcterms:created>
  <dcterms:modified xsi:type="dcterms:W3CDTF">2013-07-24T15:58:29Z</dcterms:modified>
</cp:coreProperties>
</file>